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1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<sst xmlns="http://schemas.openxmlformats.org/spreadsheetml/2006/main" count="268" uniqueCount="239">
  <si>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</si>
  <si>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</si>
  <si>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</si>
  <si>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</si>
  <si>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</si>
  <si>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</si>
  <si>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</si>
  <si>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</si>
  <si>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</si>
  <si>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</si>
  <si>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</si>
  <si>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</si>
  <si>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</si>
  <si>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</si>
  <si>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</si>
  <si>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</si>
  <si>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</si>
  <si>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</si>
  <si>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</si>
  <si>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</si>
  <si>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</si>
  <si>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</si>
  <si>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</si>
  <si>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</si>
  <si>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</si>
  <si>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</si>
  <si>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</si>
  <si>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</si>
  <si>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</si>
  <si>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</si>
  <si>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</si>
  <si>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</si>
  <si>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</si>
  <si>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</si>
  <si>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</si>
  <si>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</si>
  <si>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</si>
  <si>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</si>
  <si>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</si>
  <si>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</si>
  <si>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</si>
  <si>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</si>
  <si>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</si>
  <si>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</si>
  <si>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</si>
  <si>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</si>
  <si>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</si>
  <si>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</si>
  <si>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</si>
  <si>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</si>
  <si>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</si>
  <si>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</si>
  <si>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</si>
  <si>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</si>
  <si>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</si>
  <si>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</si>
  <si>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</si>
  <si>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</si>
  <si>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</si>
  <si>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</si>
  <si>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</si>
  <si>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</si>
  <si>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</si>
  <si>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</si>
  <si>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</si>
  <si>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</si>
  <si>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</si>
  <si>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</si>
  <si>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</si>
  <si>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</si>
  <si>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</si>
  <si>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</si>
  <si>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</si>
  <si>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</si>
  <si>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</si>
  <si>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</si>
  <si>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</si>
  <si>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</si>
  <si>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</si>
  <si>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</si>
  <si>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</si>
  <si>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</si>
  <si>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</si>
  <si>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</si>
  <si>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</si>
  <si>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</si>
  <si>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</si>
  <si>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</si>
  <si>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</si>
  <si>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</si>
  <si>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</si>
  <si>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</si>
  <si>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</si>
  <si>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</si>
  <si>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</si>
  <si>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</si>
  <si>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</si>
  <si>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</si>
  <si>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</si>
  <si>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</si>
  <si>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</si>
  <si>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</si>
  <si>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</si>
  <si>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</si>
  <si>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</si>
  <si>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</si>
  <si>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</si>
  <si>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</si>
  <si>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</si>
  <si>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</si>
  <si>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</si>
  <si>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</si>
  <si>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</si>
  <si>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</si>
  <si>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</si>
  <si>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</si>
  <si>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</si>
  <si>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</si>
  <si>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</si>
  <si>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</si>
  <si>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</si>
  <si>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</si>
  <si>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</si>
  <si>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</si>
  <si>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</si>
  <si>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</si>
  <si>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</si>
  <si>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</si>
  <si>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</si>
  <si>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</si>
  <si>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</si>
  <si>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</si>
  <si>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</si>
  <si>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</si>
  <si>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</si>
  <si>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</si>
  <si>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</si>
  <si>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</si>
  <si>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</si>
  <si>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</si>
  <si>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</si>
  <si>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</si>
  <si>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</si>
  <si>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</si>
  <si>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</si>
  <si>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</si>
  <si>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</si>
  <si>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</si>
  <si>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</si>
  <si>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</si>
  <si>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</si>
  <si>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</si>
  <si>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</si>
  <si>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</si>
  <si>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</si>
  <si>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</si>
  <si>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</si>
  <si>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</si>
  <si>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</si>
  <si>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</si>
  <si>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</si>
  <si>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</si>
  <si>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</si>
  <si>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</si>
  <si>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</si>
  <si>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</si>
  <si>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</si>
  <si>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</si>
  <si>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</si>
  <si>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</si>
  <si>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</si>
  <si>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</si>
  <si>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</si>
  <si>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</si>
  <si>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</si>
  <si>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</si>
  <si>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</si>
  <si>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</si>
  <si>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</si>
  <si>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</si>
  <si>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</si>
  <si>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</si>
  <si>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</si>
  <si>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</si>
  <si>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</si>
  <si>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</si>
  <si>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</si>
  <si>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</si>
  <si>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</si>
  <si>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</si>
  <si>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</si>
  <si>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</si>
  <si>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</si>
  <si>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</si>
  <si>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</si>
  <si>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</si>
  <si>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</si>
  <si>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</si>
  <si>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</si>
  <si>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</si>
  <si>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</si>
  <si>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</si>
  <si>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</si>
  <si>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</si>
  <si>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</si>
  <si>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</si>
  <si>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</si>
  <si>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</si>
  <si>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</si>
  <si>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</si>
  <si>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</si>
  <si>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</si>
  <si>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</si>
  <si>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</si>
  <si>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</si>
  <si>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</si>
  <si>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</si>
  <si>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</si>
  <si>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</si>
  <si>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</si>
  <si>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</si>
  <si>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</si>
  <si>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</si>
  <si>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</si>
  <si>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</si>
  <si>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</si>
  <si>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</si>
  <si>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</si>
  <si>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</si>
  <si>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</si>
  <si>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</si>
  <si>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</si>
  <si>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</si>
  <si>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</si>
  <si>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</si>
  <si>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</si>
  <si>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</si>
  <si>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Профінансовано на 24.04.2017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</si>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</sst>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23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7"/>
  <sheetViews>
    <sheetView tabSelected="1" zoomScale="75" zoomScaleNormal="75" zoomScalePageLayoutView="0" workbookViewId="0" topLeftCell="D49">
      <selection activeCell="AI63" sqref="AI63:AI64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60" t="s">
        <v>199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</row>
    <row r="5" spans="1:35" ht="20.25" customHeight="1">
      <c r="A5" s="290" t="s">
        <v>115</v>
      </c>
      <c r="B5" s="7"/>
      <c r="C5" s="291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1" t="s">
        <v>46</v>
      </c>
      <c r="K5" s="261" t="s">
        <v>47</v>
      </c>
      <c r="L5" s="261" t="s">
        <v>48</v>
      </c>
      <c r="M5" s="261" t="s">
        <v>49</v>
      </c>
      <c r="N5" s="267" t="s">
        <v>50</v>
      </c>
      <c r="O5" s="268"/>
      <c r="P5" s="269"/>
      <c r="Q5" s="293" t="s">
        <v>51</v>
      </c>
      <c r="R5" s="293" t="s">
        <v>52</v>
      </c>
      <c r="S5" s="295" t="s">
        <v>53</v>
      </c>
      <c r="T5" s="296"/>
      <c r="U5" s="10"/>
      <c r="V5" s="257" t="s">
        <v>54</v>
      </c>
      <c r="W5" s="257" t="s">
        <v>55</v>
      </c>
      <c r="X5" s="257" t="s">
        <v>56</v>
      </c>
      <c r="Y5" s="281" t="s">
        <v>57</v>
      </c>
      <c r="Z5" s="283" t="s">
        <v>58</v>
      </c>
      <c r="AA5" s="277" t="s">
        <v>59</v>
      </c>
      <c r="AB5" s="277" t="s">
        <v>60</v>
      </c>
      <c r="AC5" s="275" t="s">
        <v>61</v>
      </c>
      <c r="AD5" s="169"/>
      <c r="AI5" s="11" t="s">
        <v>62</v>
      </c>
    </row>
    <row r="6" spans="1:35" ht="19.5">
      <c r="A6" s="290"/>
      <c r="B6" s="261" t="s">
        <v>63</v>
      </c>
      <c r="C6" s="292"/>
      <c r="D6" s="261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2"/>
      <c r="K6" s="262"/>
      <c r="L6" s="262"/>
      <c r="M6" s="262"/>
      <c r="N6" s="270"/>
      <c r="O6" s="271"/>
      <c r="P6" s="272"/>
      <c r="Q6" s="294"/>
      <c r="R6" s="294"/>
      <c r="S6" s="288" t="s">
        <v>101</v>
      </c>
      <c r="T6" s="289"/>
      <c r="U6" s="14"/>
      <c r="V6" s="258"/>
      <c r="W6" s="258"/>
      <c r="X6" s="258"/>
      <c r="Y6" s="282"/>
      <c r="Z6" s="284"/>
      <c r="AA6" s="256"/>
      <c r="AB6" s="256"/>
      <c r="AC6" s="276"/>
      <c r="AD6" s="265" t="s">
        <v>102</v>
      </c>
      <c r="AE6" s="263" t="s">
        <v>51</v>
      </c>
      <c r="AF6" s="263" t="s">
        <v>52</v>
      </c>
      <c r="AG6" s="187" t="s">
        <v>53</v>
      </c>
      <c r="AH6" s="257" t="s">
        <v>237</v>
      </c>
      <c r="AI6" s="259" t="s">
        <v>44</v>
      </c>
    </row>
    <row r="7" spans="1:35" ht="36.75" customHeight="1">
      <c r="A7" s="15">
        <v>1</v>
      </c>
      <c r="B7" s="262"/>
      <c r="C7" s="166">
        <v>1</v>
      </c>
      <c r="D7" s="262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66"/>
      <c r="AE7" s="264"/>
      <c r="AF7" s="264"/>
      <c r="AG7" s="186" t="s">
        <v>101</v>
      </c>
      <c r="AH7" s="258"/>
      <c r="AI7" s="259"/>
    </row>
    <row r="8" spans="1:35" ht="15.75" customHeight="1">
      <c r="A8" s="15"/>
      <c r="B8" s="192" t="s">
        <v>32</v>
      </c>
      <c r="C8" s="193"/>
      <c r="D8" s="194" t="s">
        <v>196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232868</v>
      </c>
      <c r="AI8" s="33">
        <f>AH8/AF8*100</f>
        <v>1.9082989221423416</v>
      </c>
    </row>
    <row r="9" spans="1:35" s="184" customFormat="1" ht="75">
      <c r="A9" s="175"/>
      <c r="B9" s="188" t="s">
        <v>151</v>
      </c>
      <c r="C9" s="176"/>
      <c r="D9" s="164" t="s">
        <v>197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224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225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226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227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228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229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230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231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232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233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234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235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236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202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203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198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204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205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206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207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208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209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210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211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212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213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99">
        <v>232868</v>
      </c>
      <c r="AI35" s="81">
        <f t="shared" si="2"/>
        <v>46.112475247524756</v>
      </c>
    </row>
    <row r="36" spans="1:35" s="184" customFormat="1" ht="37.5">
      <c r="A36" s="175"/>
      <c r="B36" s="188" t="s">
        <v>16</v>
      </c>
      <c r="C36" s="176"/>
      <c r="D36" s="164" t="s">
        <v>214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215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216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217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218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219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220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221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222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223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191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192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193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194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201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195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M54+M61+M69+M73+#REF!+M79+M80+M83+M84+M88+M94+M60+M97+M98+M99+M100+M101+M102+#REF!+#REF!+M109</f>
        <v>#REF!</v>
      </c>
      <c r="N53" s="31" t="e">
        <f>N54+N61+N69+N73+#REF!+N79+N80+N83+N84+N88+N94+N60+N97+N98+N99+N100+N101+N102+#REF!+#REF!+N109</f>
        <v>#VALUE!</v>
      </c>
      <c r="O53" s="31" t="e">
        <f>O54+O61+O69+O73+#REF!+O79+O80+O83+O84+O88+O94+O60+O97+O98+O99+O100+O101+O102+#REF!+#REF!+O109</f>
        <v>#REF!</v>
      </c>
      <c r="P53" s="30" t="e">
        <f>P54+P61+P69+P73+P78+P83+P84+P91+P94+P97+P98+P99+P100+P101+P102+P109</f>
        <v>#REF!</v>
      </c>
      <c r="Q53" s="31" t="e">
        <f>Q54+Q61+Q69+Q73+#REF!+Q79+Q80+Q83+Q84+Q88+Q94+Q60+Q97+Q98+Q99+Q100+Q101+Q102+#REF!+#REF!+Q109</f>
        <v>#REF!</v>
      </c>
      <c r="R53" s="31" t="e">
        <f>R54+R61+R69+R73+#REF!+R79+R80+R83+R84+R88+R94+R60+R97+R98+R99+R100+R101+R102+#REF!+#REF!+R109</f>
        <v>#REF!</v>
      </c>
      <c r="S53" s="31" t="e">
        <f>S54+S61+S69+S73+#REF!+S79+S80+S83+S84+S88+S94+S60+S97+S98+S99+S100+S101+S102+#REF!+#REF!+S109</f>
        <v>#REF!</v>
      </c>
      <c r="T53" s="31" t="e">
        <f>T54+T61+T69+T73+#REF!+T79+T80+T83+T84+T88+T94+T60+T97+T98+T99+T100+T101+T102+#REF!+#REF!+T109</f>
        <v>#REF!</v>
      </c>
      <c r="U53" s="31" t="e">
        <f>U54+U61+U69+U73+#REF!+U79+U80+U83+U84+U88+U94+U60+U97+U98+U99+U100+U101+U102+#REF!+#REF!+U109</f>
        <v>#REF!</v>
      </c>
      <c r="V53" s="31" t="e">
        <f>V54+V61+V69+V73+#REF!+V79+V80+V83+V84+V88+V94+V60+V97+V98+V99+V100+V101+V102+#REF!+#REF!+V109</f>
        <v>#REF!</v>
      </c>
      <c r="W53" s="32" t="e">
        <f>W57+W73+#REF!+W85</f>
        <v>#REF!</v>
      </c>
      <c r="X53" s="31" t="e">
        <f>X54+X61+X69+X73+#REF!+X88+X60+X79+X94+X97+X80+X99+X83+X100+X102+X98+X101+X84</f>
        <v>#REF!</v>
      </c>
      <c r="Y53" s="33" t="e">
        <f>X53/P53*100</f>
        <v>#REF!</v>
      </c>
      <c r="Z53" s="30" t="e">
        <f>Z54+Z61+Z69+Z73+Z78+Z83+Z84+Z91+Z94+Z97+Z98+Z99+Z100+Z101+Z102+Z110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7">AE53+AF53</f>
        <v>59121982.722149</v>
      </c>
      <c r="AE53" s="30">
        <f>AE54+AE61+AE69+AE73+AE78+AE83+AE84+AE91+AE94+AE97+AE98+AE99+AE100+AE101+AE102</f>
        <v>59121982.722149</v>
      </c>
      <c r="AF53" s="35"/>
      <c r="AG53" s="35"/>
      <c r="AH53" s="30">
        <f>AH54+AH61+AH69+AH73+AH78+AH83+AH84+AH91+AH94+AH97+AH98+AH99+AH100+AH101+AH102</f>
        <v>19830046.08</v>
      </c>
      <c r="AI53" s="33">
        <f>AH53/AE53*100</f>
        <v>33.54090165276379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4769724.100000001</v>
      </c>
      <c r="AI54" s="253">
        <f aca="true" t="shared" si="7" ref="AI54:AI107">AH54/AE54*100</f>
        <v>34.42976224495035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451196.53+332740.16-66.81+399426.96+233852.31</f>
        <v>1417149.15</v>
      </c>
      <c r="AI55" s="81">
        <f t="shared" si="7"/>
        <v>33.07295668043588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1043663.87+1051800.53+937923.95</f>
        <v>3033388.3499999996</v>
      </c>
      <c r="AI56" s="81">
        <f t="shared" si="7"/>
        <v>37.62305937402217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78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79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78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5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79"/>
      <c r="AD58" s="185">
        <f t="shared" si="5"/>
        <v>477177</v>
      </c>
      <c r="AE58" s="59">
        <v>477177</v>
      </c>
      <c r="AF58" s="22"/>
      <c r="AG58" s="22"/>
      <c r="AH58" s="246">
        <f>70531.7+6772.4+32179.65+4172.4+2000</f>
        <v>115656.15</v>
      </c>
      <c r="AI58" s="81">
        <f t="shared" si="7"/>
        <v>24.237578508603725</v>
      </c>
    </row>
    <row r="59" spans="1:35" ht="19.5">
      <c r="A59" s="43"/>
      <c r="B59" s="43"/>
      <c r="C59" s="44"/>
      <c r="D59" s="83" t="s">
        <v>200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M62+M63+M67+M65+M68</f>
        <v>5469440</v>
      </c>
      <c r="N61" s="211">
        <f>N62+N63+N67+N65+N68</f>
        <v>0</v>
      </c>
      <c r="O61" s="211">
        <f>O62+O63+O67+O65+O68</f>
        <v>14216880</v>
      </c>
      <c r="P61" s="209">
        <f>P62+P63+P67+P65+P68+P66</f>
        <v>5469440</v>
      </c>
      <c r="Q61" s="211">
        <f>Q62+Q63+Q67+Q65+Q68</f>
        <v>8999440</v>
      </c>
      <c r="R61" s="215"/>
      <c r="S61" s="215"/>
      <c r="T61" s="211">
        <f>T62+T63+T67+T65+T68</f>
        <v>5903520.42</v>
      </c>
      <c r="U61" s="211"/>
      <c r="V61" s="211">
        <f>V62+V63+V67+V65+V68</f>
        <v>11520000</v>
      </c>
      <c r="W61" s="211"/>
      <c r="X61" s="211">
        <f>X62+X63+X67+X65+X68</f>
        <v>5074108.42</v>
      </c>
      <c r="Y61" s="213">
        <f t="shared" si="8"/>
        <v>92.77199164813949</v>
      </c>
      <c r="Z61" s="209">
        <f>Z62+Z63+Z67+Z65+Z68+Z66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6162464.640000001</v>
      </c>
      <c r="AE61" s="161">
        <f>AE62+AE63+AE67+AE65+AE66+AE68</f>
        <v>6162464.640000001</v>
      </c>
      <c r="AF61" s="215"/>
      <c r="AG61" s="215"/>
      <c r="AH61" s="251">
        <f>AH62+AH63+AH65+AH66+AH67+AH68</f>
        <v>2306086</v>
      </c>
      <c r="AI61" s="253">
        <f t="shared" si="7"/>
        <v>37.421488555591935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404583</v>
      </c>
      <c r="AE63" s="54">
        <f>P63+P63*8.1%+200000+50000</f>
        <v>404583</v>
      </c>
      <c r="AF63" s="22"/>
      <c r="AG63" s="22"/>
      <c r="AH63" s="249">
        <v>154575</v>
      </c>
      <c r="AI63" s="81">
        <f t="shared" si="7"/>
        <v>38.20600470113673</v>
      </c>
    </row>
    <row r="64" spans="1:35" ht="49.5" customHeight="1">
      <c r="A64" s="43"/>
      <c r="B64" s="43"/>
      <c r="C64" s="44"/>
      <c r="D64" s="60" t="s">
        <v>238</v>
      </c>
      <c r="E64" s="62"/>
      <c r="F64" s="62"/>
      <c r="G64" s="62"/>
      <c r="H64" s="62"/>
      <c r="I64" s="62"/>
      <c r="J64" s="62"/>
      <c r="K64" s="62"/>
      <c r="L64" s="62"/>
      <c r="M64" s="72"/>
      <c r="N64" s="76"/>
      <c r="O64" s="67"/>
      <c r="P64" s="63"/>
      <c r="Q64" s="51"/>
      <c r="R64" s="73"/>
      <c r="S64" s="73"/>
      <c r="T64" s="51"/>
      <c r="U64" s="51"/>
      <c r="V64" s="77"/>
      <c r="W64" s="55"/>
      <c r="X64" s="51"/>
      <c r="Y64" s="74"/>
      <c r="Z64" s="64"/>
      <c r="AA64" s="55"/>
      <c r="AB64" s="56"/>
      <c r="AC64" s="57"/>
      <c r="AD64" s="185">
        <v>50000</v>
      </c>
      <c r="AE64" s="54">
        <v>50000</v>
      </c>
      <c r="AF64" s="22"/>
      <c r="AG64" s="22"/>
      <c r="AH64" s="249">
        <v>0</v>
      </c>
      <c r="AI64" s="81">
        <f t="shared" si="7"/>
        <v>0</v>
      </c>
    </row>
    <row r="65" spans="1:35" ht="18.75" customHeight="1">
      <c r="A65" s="43"/>
      <c r="B65" s="43"/>
      <c r="C65" s="44" t="s">
        <v>76</v>
      </c>
      <c r="D65" s="60" t="s">
        <v>79</v>
      </c>
      <c r="E65" s="62"/>
      <c r="F65" s="62"/>
      <c r="G65" s="62"/>
      <c r="H65" s="62"/>
      <c r="I65" s="62"/>
      <c r="J65" s="62"/>
      <c r="K65" s="62"/>
      <c r="L65" s="62"/>
      <c r="M65" s="72">
        <f>252000+175000</f>
        <v>427000</v>
      </c>
      <c r="N65" s="76"/>
      <c r="O65" s="67">
        <f>P65+Q65</f>
        <v>602000</v>
      </c>
      <c r="P65" s="63">
        <v>175000</v>
      </c>
      <c r="Q65" s="51">
        <f>252000+175000</f>
        <v>427000</v>
      </c>
      <c r="R65" s="73"/>
      <c r="S65" s="73"/>
      <c r="T65" s="51">
        <f>34750+28250+25000+31750+25000+32000+25000+45500+70000+25000+34750</f>
        <v>377000</v>
      </c>
      <c r="U65" s="51"/>
      <c r="V65" s="77">
        <v>900000</v>
      </c>
      <c r="W65" s="55"/>
      <c r="X65" s="51">
        <f>34750+28250+25000+31750+25000+32000+25000+45500+70000+25000+34750+25000</f>
        <v>402000</v>
      </c>
      <c r="Y65" s="74">
        <f t="shared" si="8"/>
        <v>229.71428571428572</v>
      </c>
      <c r="Z65" s="64">
        <v>200000</v>
      </c>
      <c r="AA65" s="55">
        <f>Z65/P65*100</f>
        <v>114.28571428571428</v>
      </c>
      <c r="AB65" s="56">
        <f>Z65-P65</f>
        <v>25000</v>
      </c>
      <c r="AC65" s="57"/>
      <c r="AD65" s="185">
        <f t="shared" si="5"/>
        <v>189175</v>
      </c>
      <c r="AE65" s="54">
        <f>P65+P65*8.1%</f>
        <v>189175</v>
      </c>
      <c r="AF65" s="22"/>
      <c r="AG65" s="22"/>
      <c r="AH65" s="249"/>
      <c r="AI65" s="143">
        <f t="shared" si="7"/>
        <v>0</v>
      </c>
    </row>
    <row r="66" spans="1:35" ht="20.25" customHeight="1">
      <c r="A66" s="43"/>
      <c r="B66" s="43"/>
      <c r="C66" s="274" t="s">
        <v>80</v>
      </c>
      <c r="D66" s="60" t="s">
        <v>81</v>
      </c>
      <c r="E66" s="62"/>
      <c r="F66" s="62"/>
      <c r="G66" s="62"/>
      <c r="H66" s="62"/>
      <c r="I66" s="62"/>
      <c r="J66" s="62"/>
      <c r="K66" s="62"/>
      <c r="L66" s="62"/>
      <c r="M66" s="72"/>
      <c r="N66" s="76"/>
      <c r="O66" s="67"/>
      <c r="P66" s="63">
        <v>252000</v>
      </c>
      <c r="Q66" s="51"/>
      <c r="R66" s="73"/>
      <c r="S66" s="73"/>
      <c r="T66" s="51"/>
      <c r="U66" s="51"/>
      <c r="V66" s="77"/>
      <c r="W66" s="55"/>
      <c r="X66" s="51"/>
      <c r="Y66" s="74"/>
      <c r="Z66" s="64">
        <v>700000</v>
      </c>
      <c r="AA66" s="55"/>
      <c r="AB66" s="56"/>
      <c r="AC66" s="57"/>
      <c r="AD66" s="185">
        <f t="shared" si="5"/>
        <v>272412</v>
      </c>
      <c r="AE66" s="54">
        <f>P66+P66*8.1%</f>
        <v>272412</v>
      </c>
      <c r="AF66" s="22"/>
      <c r="AG66" s="22"/>
      <c r="AH66" s="249">
        <v>36000</v>
      </c>
      <c r="AI66" s="143">
        <f t="shared" si="7"/>
        <v>13.215276860050217</v>
      </c>
    </row>
    <row r="67" spans="1:35" ht="36.75" customHeight="1">
      <c r="A67" s="43"/>
      <c r="B67" s="43"/>
      <c r="C67" s="274"/>
      <c r="D67" s="60" t="s">
        <v>82</v>
      </c>
      <c r="E67" s="62"/>
      <c r="F67" s="62"/>
      <c r="G67" s="62"/>
      <c r="H67" s="62"/>
      <c r="I67" s="62"/>
      <c r="J67" s="62"/>
      <c r="K67" s="62"/>
      <c r="L67" s="62"/>
      <c r="M67" s="72">
        <f>1231480+1589000+180000+29600</f>
        <v>3030080</v>
      </c>
      <c r="N67" s="76"/>
      <c r="O67" s="67">
        <f>P67+Q67</f>
        <v>6060160</v>
      </c>
      <c r="P67" s="63">
        <f>Q67+R67</f>
        <v>3030080</v>
      </c>
      <c r="Q67" s="51">
        <f>1231480+1589000+180000+29600</f>
        <v>3030080</v>
      </c>
      <c r="R67" s="73"/>
      <c r="S67" s="73"/>
      <c r="T67" s="51">
        <f>95028.5+188463.6+68400+157936.81+158389.75+145896+29600+29783+198012+97921.6+193183.5+70992+147900+44992.5+21677.5+14703+58116+88392+107822+50854.4+71688+74646+6000+161762+123612.5+114360+30800+133278</f>
        <v>2684210.66</v>
      </c>
      <c r="U67" s="51"/>
      <c r="V67" s="77">
        <v>5345000</v>
      </c>
      <c r="W67" s="55"/>
      <c r="X67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69">
        <f aca="true" t="shared" si="9" ref="Y67:Y75">X67/P67*100</f>
        <v>90.08998640299927</v>
      </c>
      <c r="Z67" s="64">
        <v>5345000</v>
      </c>
      <c r="AA67" s="55">
        <f aca="true" t="shared" si="10" ref="AA67:AA75">Z67/P67*100</f>
        <v>176.39798289154083</v>
      </c>
      <c r="AB67" s="56">
        <f aca="true" t="shared" si="11" ref="AB67:AB75">Z67-P67</f>
        <v>2314920</v>
      </c>
      <c r="AC67" s="57"/>
      <c r="AD67" s="185">
        <f t="shared" si="5"/>
        <v>3275516.48</v>
      </c>
      <c r="AE67" s="54">
        <f>P67+P67*8.1%</f>
        <v>3275516.48</v>
      </c>
      <c r="AF67" s="22"/>
      <c r="AG67" s="22"/>
      <c r="AH67" s="249">
        <f>650252+225720+335728+255610+322330+98235+227636</f>
        <v>2115511</v>
      </c>
      <c r="AI67" s="143">
        <f t="shared" si="7"/>
        <v>64.58557033423932</v>
      </c>
    </row>
    <row r="68" spans="1:35" ht="19.5" customHeight="1">
      <c r="A68" s="43"/>
      <c r="B68" s="43"/>
      <c r="C68" s="274"/>
      <c r="D68" s="60" t="s">
        <v>83</v>
      </c>
      <c r="E68" s="62"/>
      <c r="F68" s="62"/>
      <c r="G68" s="62"/>
      <c r="H68" s="62"/>
      <c r="I68" s="62"/>
      <c r="J68" s="62"/>
      <c r="K68" s="62"/>
      <c r="L68" s="62"/>
      <c r="M68" s="72">
        <v>70000</v>
      </c>
      <c r="N68" s="76"/>
      <c r="O68" s="67">
        <f>P68+Q68</f>
        <v>3670000</v>
      </c>
      <c r="P68" s="63">
        <v>70000</v>
      </c>
      <c r="Q68" s="67">
        <f>R68+S68</f>
        <v>3600000</v>
      </c>
      <c r="R68" s="67">
        <f>S68+T68</f>
        <v>2250000</v>
      </c>
      <c r="S68" s="67">
        <f>T68+U68</f>
        <v>1350000</v>
      </c>
      <c r="T68" s="67">
        <f>U68+V68</f>
        <v>900000</v>
      </c>
      <c r="U68" s="67">
        <f>V68+W68</f>
        <v>450000</v>
      </c>
      <c r="V68" s="67">
        <v>450000</v>
      </c>
      <c r="W68" s="55"/>
      <c r="X68" s="51">
        <v>0</v>
      </c>
      <c r="Y68" s="74">
        <f t="shared" si="9"/>
        <v>0</v>
      </c>
      <c r="Z68" s="64">
        <v>450000</v>
      </c>
      <c r="AA68" s="55">
        <f t="shared" si="10"/>
        <v>642.8571428571429</v>
      </c>
      <c r="AB68" s="56">
        <f t="shared" si="11"/>
        <v>380000</v>
      </c>
      <c r="AC68" s="57"/>
      <c r="AD68" s="185">
        <f t="shared" si="5"/>
        <v>75670</v>
      </c>
      <c r="AE68" s="54">
        <f>P68+P68*8.1%</f>
        <v>75670</v>
      </c>
      <c r="AF68" s="22"/>
      <c r="AG68" s="22"/>
      <c r="AH68" s="249"/>
      <c r="AI68" s="143">
        <f t="shared" si="7"/>
        <v>0</v>
      </c>
    </row>
    <row r="69" spans="1:35" s="2" customFormat="1" ht="19.5" customHeight="1">
      <c r="A69" s="206" t="s">
        <v>113</v>
      </c>
      <c r="B69" s="206" t="s">
        <v>110</v>
      </c>
      <c r="C69" s="207"/>
      <c r="D69" s="208" t="s">
        <v>84</v>
      </c>
      <c r="E69" s="47">
        <f>256.5+80.3</f>
        <v>336.8</v>
      </c>
      <c r="F69" s="47">
        <f>E69</f>
        <v>336.8</v>
      </c>
      <c r="G69" s="47">
        <f>74+23.5</f>
        <v>97.5</v>
      </c>
      <c r="H69" s="47">
        <f>F69-G69</f>
        <v>239.3</v>
      </c>
      <c r="I69" s="47">
        <f>1056.05-187.9-170</f>
        <v>698.15</v>
      </c>
      <c r="J69" s="47">
        <v>74.25</v>
      </c>
      <c r="K69" s="47">
        <v>239.3</v>
      </c>
      <c r="L69" s="47"/>
      <c r="M69" s="210">
        <f>M71+M72+M70</f>
        <v>625900</v>
      </c>
      <c r="N69" s="47" t="s">
        <v>67</v>
      </c>
      <c r="O69" s="210">
        <f>P69+Q69</f>
        <v>1251800</v>
      </c>
      <c r="P69" s="209">
        <f>Q69+R69</f>
        <v>625900</v>
      </c>
      <c r="Q69" s="211">
        <f>Q70+Q71+Q72</f>
        <v>625900</v>
      </c>
      <c r="R69" s="215"/>
      <c r="S69" s="215"/>
      <c r="T69" s="211">
        <f>T70+T71+T72</f>
        <v>441324.46</v>
      </c>
      <c r="U69" s="211"/>
      <c r="V69" s="210">
        <f>V71+V72+V70</f>
        <v>637789.921</v>
      </c>
      <c r="W69" s="210"/>
      <c r="X69" s="211">
        <f>X70+X71+X72</f>
        <v>441324.46</v>
      </c>
      <c r="Y69" s="213">
        <f t="shared" si="9"/>
        <v>70.51037865473718</v>
      </c>
      <c r="Z69" s="209">
        <f>Z70+Z71+Z72</f>
        <v>1169762.37</v>
      </c>
      <c r="AA69" s="211">
        <f t="shared" si="10"/>
        <v>186.892853490973</v>
      </c>
      <c r="AB69" s="214">
        <f t="shared" si="11"/>
        <v>543862.3700000001</v>
      </c>
      <c r="AC69" s="215"/>
      <c r="AD69" s="218">
        <f t="shared" si="5"/>
        <v>855303.1100000001</v>
      </c>
      <c r="AE69" s="209">
        <f>AE70+AE71+AE72</f>
        <v>855303.1100000001</v>
      </c>
      <c r="AF69" s="215"/>
      <c r="AG69" s="215"/>
      <c r="AH69" s="251">
        <f>AH70+AH71+AH72</f>
        <v>0</v>
      </c>
      <c r="AI69" s="252">
        <f t="shared" si="7"/>
        <v>0</v>
      </c>
    </row>
    <row r="70" spans="1:35" ht="19.5">
      <c r="A70" s="43"/>
      <c r="B70" s="43"/>
      <c r="C70" s="44" t="s">
        <v>85</v>
      </c>
      <c r="D70" s="60" t="s">
        <v>86</v>
      </c>
      <c r="E70" s="61"/>
      <c r="F70" s="61"/>
      <c r="G70" s="61"/>
      <c r="H70" s="61"/>
      <c r="I70" s="61"/>
      <c r="J70" s="61"/>
      <c r="K70" s="61"/>
      <c r="L70" s="61"/>
      <c r="M70" s="63">
        <v>268000</v>
      </c>
      <c r="N70" s="61"/>
      <c r="O70" s="67">
        <f>P70+Q70</f>
        <v>718512.58</v>
      </c>
      <c r="P70" s="63">
        <f>Q70+R70</f>
        <v>359256.29</v>
      </c>
      <c r="Q70" s="51">
        <f>268000+91256.29</f>
        <v>359256.29</v>
      </c>
      <c r="R70" s="73"/>
      <c r="S70" s="73"/>
      <c r="T70" s="51">
        <f>18552.24+72107.68+23190.3+47175.33+23015.91+29757.33+62844.09+23190.03</f>
        <v>299832.91000000003</v>
      </c>
      <c r="U70" s="51"/>
      <c r="V70" s="55">
        <f>P70*(0.9)</f>
        <v>323330.66099999996</v>
      </c>
      <c r="W70" s="55"/>
      <c r="X70" s="51">
        <f>18552.24+72107.68+23190.3+47175.33+23015.91+29757.33+62844.09+23190.03</f>
        <v>299832.91000000003</v>
      </c>
      <c r="Y70" s="74">
        <f t="shared" si="9"/>
        <v>83.45933483864681</v>
      </c>
      <c r="Z70" s="64">
        <v>855303.11</v>
      </c>
      <c r="AA70" s="55">
        <f t="shared" si="10"/>
        <v>238.07602923250138</v>
      </c>
      <c r="AB70" s="56">
        <f t="shared" si="11"/>
        <v>496046.82</v>
      </c>
      <c r="AC70" s="285" t="s">
        <v>87</v>
      </c>
      <c r="AD70" s="185">
        <f t="shared" si="5"/>
        <v>540843.8500000001</v>
      </c>
      <c r="AE70" s="64">
        <f>152908.76+129844.14+131189.32+126901.63</f>
        <v>540843.8500000001</v>
      </c>
      <c r="AF70" s="22"/>
      <c r="AG70" s="22"/>
      <c r="AH70" s="246"/>
      <c r="AI70" s="143">
        <f t="shared" si="7"/>
        <v>0</v>
      </c>
    </row>
    <row r="71" spans="1:35" ht="17.25" customHeight="1">
      <c r="A71" s="43"/>
      <c r="B71" s="43"/>
      <c r="C71" s="44" t="s">
        <v>85</v>
      </c>
      <c r="D71" s="60" t="s">
        <v>88</v>
      </c>
      <c r="E71" s="61"/>
      <c r="F71" s="61"/>
      <c r="G71" s="61"/>
      <c r="H71" s="61"/>
      <c r="I71" s="61"/>
      <c r="J71" s="61"/>
      <c r="K71" s="61"/>
      <c r="L71" s="61"/>
      <c r="M71" s="63">
        <v>170000</v>
      </c>
      <c r="N71" s="61"/>
      <c r="O71" s="67">
        <f>P71+Q71</f>
        <v>157487.42</v>
      </c>
      <c r="P71" s="63">
        <f>Q71+R71</f>
        <v>78743.71</v>
      </c>
      <c r="Q71" s="51">
        <f>170000-91256.29</f>
        <v>78743.71</v>
      </c>
      <c r="R71" s="73"/>
      <c r="S71" s="73"/>
      <c r="T71" s="51">
        <f>14766.18+14774.76+14766.18+14766.18+14766.18</f>
        <v>73839.48000000001</v>
      </c>
      <c r="U71" s="51"/>
      <c r="V71" s="55">
        <v>86161.65</v>
      </c>
      <c r="W71" s="55"/>
      <c r="X71" s="51">
        <f>14766.18+14774.76+14766.18+14766.18+14766.18</f>
        <v>73839.48000000001</v>
      </c>
      <c r="Y71" s="74">
        <f t="shared" si="9"/>
        <v>93.7719088927865</v>
      </c>
      <c r="Z71" s="64">
        <v>86161.65</v>
      </c>
      <c r="AA71" s="55">
        <f t="shared" si="10"/>
        <v>109.42035878167282</v>
      </c>
      <c r="AB71" s="56">
        <f t="shared" si="11"/>
        <v>7417.939999999988</v>
      </c>
      <c r="AC71" s="285"/>
      <c r="AD71" s="185">
        <f t="shared" si="5"/>
        <v>86161.65</v>
      </c>
      <c r="AE71" s="54">
        <f>Z71</f>
        <v>86161.65</v>
      </c>
      <c r="AF71" s="22"/>
      <c r="AG71" s="22"/>
      <c r="AH71" s="246"/>
      <c r="AI71" s="143">
        <f t="shared" si="7"/>
        <v>0</v>
      </c>
    </row>
    <row r="72" spans="1:35" ht="19.5">
      <c r="A72" s="43"/>
      <c r="B72" s="43"/>
      <c r="C72" s="44" t="s">
        <v>85</v>
      </c>
      <c r="D72" s="60" t="s">
        <v>43</v>
      </c>
      <c r="E72" s="61">
        <f>173.3</f>
        <v>173.3</v>
      </c>
      <c r="F72" s="61">
        <f>173.3</f>
        <v>173.3</v>
      </c>
      <c r="G72" s="61">
        <v>83.4</v>
      </c>
      <c r="H72" s="61">
        <f>F72-G72</f>
        <v>89.9</v>
      </c>
      <c r="I72" s="61">
        <f>666.764-14.616-20</f>
        <v>632.148</v>
      </c>
      <c r="J72" s="61">
        <v>166.1</v>
      </c>
      <c r="K72" s="61">
        <v>89.9</v>
      </c>
      <c r="L72" s="61"/>
      <c r="M72" s="63">
        <v>187900</v>
      </c>
      <c r="N72" s="61" t="s">
        <v>67</v>
      </c>
      <c r="O72" s="67">
        <f>P72+Q72</f>
        <v>375800</v>
      </c>
      <c r="P72" s="63">
        <f>Q72+R72</f>
        <v>187900</v>
      </c>
      <c r="Q72" s="51">
        <v>187900</v>
      </c>
      <c r="R72" s="73"/>
      <c r="S72" s="73"/>
      <c r="T72" s="51">
        <f>2357.42+16410.77+16575.26+17703.29+14605.33</f>
        <v>67652.06999999999</v>
      </c>
      <c r="U72" s="51"/>
      <c r="V72" s="55">
        <v>228297.61</v>
      </c>
      <c r="W72" s="55"/>
      <c r="X72" s="51">
        <f>2357.42+16410.77+16575.26+17703.29+14605.33</f>
        <v>67652.06999999999</v>
      </c>
      <c r="Y72" s="74">
        <f t="shared" si="9"/>
        <v>36.00429483767961</v>
      </c>
      <c r="Z72" s="64">
        <v>228297.61</v>
      </c>
      <c r="AA72" s="55">
        <f t="shared" si="10"/>
        <v>121.49952634379989</v>
      </c>
      <c r="AB72" s="56">
        <f t="shared" si="11"/>
        <v>40397.609999999986</v>
      </c>
      <c r="AC72" s="285"/>
      <c r="AD72" s="185">
        <f t="shared" si="5"/>
        <v>228297.61</v>
      </c>
      <c r="AE72" s="54">
        <f>Z72</f>
        <v>228297.61</v>
      </c>
      <c r="AF72" s="172"/>
      <c r="AG72" s="22"/>
      <c r="AH72" s="246"/>
      <c r="AI72" s="143">
        <f t="shared" si="7"/>
        <v>0</v>
      </c>
    </row>
    <row r="73" spans="1:35" s="2" customFormat="1" ht="18.75">
      <c r="A73" s="206" t="s">
        <v>89</v>
      </c>
      <c r="B73" s="206" t="s">
        <v>35</v>
      </c>
      <c r="C73" s="207"/>
      <c r="D73" s="208" t="s">
        <v>90</v>
      </c>
      <c r="E73" s="47">
        <f>122.6+1881.1</f>
        <v>2003.6999999999998</v>
      </c>
      <c r="F73" s="47">
        <f>121.8+1840</f>
        <v>1961.8</v>
      </c>
      <c r="G73" s="47">
        <v>27.7</v>
      </c>
      <c r="H73" s="47">
        <f>F73-G73</f>
        <v>1934.1</v>
      </c>
      <c r="I73" s="47">
        <f>2239.093+25.0115+616.4775</f>
        <v>2880.582</v>
      </c>
      <c r="J73" s="47">
        <v>1332.8</v>
      </c>
      <c r="K73" s="47">
        <v>1934.1</v>
      </c>
      <c r="L73" s="47"/>
      <c r="M73" s="211">
        <f aca="true" t="shared" si="12" ref="M73:V73">M74+M75+M77</f>
        <v>2123000</v>
      </c>
      <c r="N73" s="211" t="e">
        <f t="shared" si="12"/>
        <v>#VALUE!</v>
      </c>
      <c r="O73" s="211">
        <f t="shared" si="12"/>
        <v>4246000</v>
      </c>
      <c r="P73" s="209">
        <f t="shared" si="12"/>
        <v>2123000</v>
      </c>
      <c r="Q73" s="211">
        <f t="shared" si="12"/>
        <v>2123000</v>
      </c>
      <c r="R73" s="211">
        <f t="shared" si="12"/>
        <v>0</v>
      </c>
      <c r="S73" s="211">
        <f t="shared" si="12"/>
        <v>0</v>
      </c>
      <c r="T73" s="211">
        <f t="shared" si="12"/>
        <v>1314272.7199999997</v>
      </c>
      <c r="U73" s="211">
        <f t="shared" si="12"/>
        <v>0</v>
      </c>
      <c r="V73" s="211">
        <f t="shared" si="12"/>
        <v>2480800</v>
      </c>
      <c r="W73" s="211">
        <f>W74</f>
        <v>1128700</v>
      </c>
      <c r="X73" s="211">
        <f>X74+X75+X77</f>
        <v>1314272.7199999997</v>
      </c>
      <c r="Y73" s="213">
        <f t="shared" si="9"/>
        <v>61.906392840320294</v>
      </c>
      <c r="Z73" s="209">
        <f>Z74+Z75+Z77</f>
        <v>2480800</v>
      </c>
      <c r="AA73" s="211">
        <f t="shared" si="10"/>
        <v>116.85350918511541</v>
      </c>
      <c r="AB73" s="214">
        <f t="shared" si="11"/>
        <v>357800</v>
      </c>
      <c r="AC73" s="286" t="s">
        <v>121</v>
      </c>
      <c r="AD73" s="218">
        <f t="shared" si="5"/>
        <v>2480800</v>
      </c>
      <c r="AE73" s="209">
        <f>AE74+AE75+AE76+AE77</f>
        <v>2480800</v>
      </c>
      <c r="AF73" s="215"/>
      <c r="AG73" s="215"/>
      <c r="AH73" s="251">
        <f>AH74+AH75+AH76+AH77</f>
        <v>809534.06</v>
      </c>
      <c r="AI73" s="252">
        <f t="shared" si="7"/>
        <v>32.63197597549178</v>
      </c>
    </row>
    <row r="74" spans="1:35" ht="45" customHeight="1">
      <c r="A74" s="43"/>
      <c r="B74" s="43"/>
      <c r="C74" s="44" t="s">
        <v>122</v>
      </c>
      <c r="D74" s="83" t="s">
        <v>123</v>
      </c>
      <c r="E74" s="61"/>
      <c r="F74" s="61"/>
      <c r="G74" s="61"/>
      <c r="H74" s="61"/>
      <c r="I74" s="61"/>
      <c r="J74" s="61"/>
      <c r="K74" s="61"/>
      <c r="L74" s="61"/>
      <c r="M74" s="72">
        <f>1984500</f>
        <v>1984500</v>
      </c>
      <c r="N74" s="61"/>
      <c r="O74" s="67">
        <f>P74+Q74</f>
        <v>3969000</v>
      </c>
      <c r="P74" s="63">
        <f>Q74+R74</f>
        <v>1984500</v>
      </c>
      <c r="Q74" s="51">
        <f>1984500</f>
        <v>1984500</v>
      </c>
      <c r="R74" s="84"/>
      <c r="S74" s="84"/>
      <c r="T74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51"/>
      <c r="V74" s="85">
        <v>2415500</v>
      </c>
      <c r="W74" s="55">
        <v>1128700</v>
      </c>
      <c r="X74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69">
        <f t="shared" si="9"/>
        <v>64.4961723356009</v>
      </c>
      <c r="Z74" s="64">
        <v>2415500</v>
      </c>
      <c r="AA74" s="80">
        <f t="shared" si="10"/>
        <v>121.7183169564122</v>
      </c>
      <c r="AB74" s="82">
        <f t="shared" si="11"/>
        <v>431000</v>
      </c>
      <c r="AC74" s="286"/>
      <c r="AD74" s="185">
        <f t="shared" si="5"/>
        <v>1705300</v>
      </c>
      <c r="AE74" s="64">
        <v>1705300</v>
      </c>
      <c r="AF74" s="172"/>
      <c r="AG74" s="22"/>
      <c r="AH74" s="246">
        <f>62630.03+17956.55+3950.44+29559.27+4385.59+44800+12555.8+15675.08+2632+17925+3943.5+218000+10667.41+29867.04+145343.16</f>
        <v>619890.87</v>
      </c>
      <c r="AI74" s="143">
        <f t="shared" si="7"/>
        <v>36.350839734943996</v>
      </c>
    </row>
    <row r="75" spans="1:35" s="1" customFormat="1" ht="17.25" customHeight="1">
      <c r="A75" s="43"/>
      <c r="B75" s="43"/>
      <c r="C75" s="44" t="s">
        <v>122</v>
      </c>
      <c r="D75" s="60" t="s">
        <v>124</v>
      </c>
      <c r="E75" s="61"/>
      <c r="F75" s="61"/>
      <c r="G75" s="61"/>
      <c r="H75" s="61"/>
      <c r="I75" s="61"/>
      <c r="J75" s="61"/>
      <c r="K75" s="61"/>
      <c r="L75" s="61"/>
      <c r="M75" s="72">
        <f>117815</f>
        <v>117815</v>
      </c>
      <c r="N75" s="61"/>
      <c r="O75" s="67">
        <f>P75+Q75</f>
        <v>235630</v>
      </c>
      <c r="P75" s="63">
        <f>Q75+R75</f>
        <v>117815</v>
      </c>
      <c r="Q75" s="51">
        <f>117815</f>
        <v>117815</v>
      </c>
      <c r="R75" s="84"/>
      <c r="S75" s="84"/>
      <c r="T75" s="51">
        <f>5874.96+10528.68+2678.52+4068.84+4824.24+994.56</f>
        <v>28969.8</v>
      </c>
      <c r="U75" s="51"/>
      <c r="V75" s="85">
        <v>36100</v>
      </c>
      <c r="W75" s="55"/>
      <c r="X75" s="51">
        <f>5874.96+10528.68+2678.52+4068.84+4824.24+994.56</f>
        <v>28969.8</v>
      </c>
      <c r="Y75" s="74">
        <f t="shared" si="9"/>
        <v>24.589228875779824</v>
      </c>
      <c r="Z75" s="64">
        <v>36100</v>
      </c>
      <c r="AA75" s="80">
        <f t="shared" si="10"/>
        <v>30.641259601918264</v>
      </c>
      <c r="AB75" s="82">
        <f t="shared" si="11"/>
        <v>-81715</v>
      </c>
      <c r="AC75" s="286"/>
      <c r="AD75" s="185">
        <f t="shared" si="5"/>
        <v>36100</v>
      </c>
      <c r="AE75" s="64">
        <f>Z75</f>
        <v>36100</v>
      </c>
      <c r="AF75" s="22"/>
      <c r="AG75" s="172"/>
      <c r="AH75" s="246"/>
      <c r="AI75" s="143">
        <f t="shared" si="7"/>
        <v>0</v>
      </c>
    </row>
    <row r="76" spans="1:35" s="1" customFormat="1" ht="17.25" customHeight="1">
      <c r="A76" s="43"/>
      <c r="B76" s="43"/>
      <c r="C76" s="44"/>
      <c r="D76" s="60" t="s">
        <v>125</v>
      </c>
      <c r="E76" s="61"/>
      <c r="F76" s="61"/>
      <c r="G76" s="61"/>
      <c r="H76" s="61"/>
      <c r="I76" s="61"/>
      <c r="J76" s="61"/>
      <c r="K76" s="61"/>
      <c r="L76" s="61"/>
      <c r="M76" s="72"/>
      <c r="N76" s="61"/>
      <c r="O76" s="67"/>
      <c r="P76" s="63"/>
      <c r="Q76" s="51"/>
      <c r="R76" s="84"/>
      <c r="S76" s="84"/>
      <c r="T76" s="51"/>
      <c r="U76" s="51"/>
      <c r="V76" s="85"/>
      <c r="W76" s="55"/>
      <c r="X76" s="51"/>
      <c r="Y76" s="74"/>
      <c r="Z76" s="64"/>
      <c r="AA76" s="80"/>
      <c r="AB76" s="82"/>
      <c r="AC76" s="286"/>
      <c r="AD76" s="185">
        <f t="shared" si="5"/>
        <v>29200</v>
      </c>
      <c r="AE76" s="64">
        <f>Z77</f>
        <v>29200</v>
      </c>
      <c r="AF76" s="22"/>
      <c r="AG76" s="172"/>
      <c r="AH76" s="246">
        <f>991.77+516.4</f>
        <v>1508.17</v>
      </c>
      <c r="AI76" s="143">
        <f t="shared" si="7"/>
        <v>5.164965753424658</v>
      </c>
    </row>
    <row r="77" spans="1:35" s="1" customFormat="1" ht="36" customHeight="1">
      <c r="A77" s="43"/>
      <c r="B77" s="43"/>
      <c r="C77" s="44" t="s">
        <v>122</v>
      </c>
      <c r="D77" s="83" t="s">
        <v>126</v>
      </c>
      <c r="E77" s="61">
        <v>22463.7</v>
      </c>
      <c r="F77" s="61">
        <f>7156.8+15302.9</f>
        <v>22459.7</v>
      </c>
      <c r="G77" s="61">
        <f>1375.6+2420.3</f>
        <v>3795.9</v>
      </c>
      <c r="H77" s="61">
        <v>18663.8</v>
      </c>
      <c r="I77" s="61">
        <v>26758.69305</v>
      </c>
      <c r="J77" s="61" t="e">
        <f>#REF!+#REF!+#REF!+#REF!</f>
        <v>#REF!</v>
      </c>
      <c r="K77" s="61" t="e">
        <f>#REF!+#REF!+#REF!+#REF!</f>
        <v>#REF!</v>
      </c>
      <c r="L77" s="61"/>
      <c r="M77" s="72">
        <v>20685</v>
      </c>
      <c r="N77" s="61" t="s">
        <v>67</v>
      </c>
      <c r="O77" s="67">
        <f>P77+Q77</f>
        <v>41370</v>
      </c>
      <c r="P77" s="63">
        <f>Q77+R77</f>
        <v>20685</v>
      </c>
      <c r="Q77" s="51">
        <v>20685</v>
      </c>
      <c r="R77" s="84"/>
      <c r="S77" s="84"/>
      <c r="T77" s="51">
        <f>848.74+587.05+557.5+750.92+889.87+917.3+825</f>
        <v>5376.38</v>
      </c>
      <c r="U77" s="51"/>
      <c r="V77" s="85">
        <v>29200</v>
      </c>
      <c r="W77" s="55"/>
      <c r="X77" s="51">
        <f>848.74+587.05+557.5+750.92+889.87+917.3+825</f>
        <v>5376.38</v>
      </c>
      <c r="Y77" s="74">
        <f>X77/P77*100</f>
        <v>25.991684795745712</v>
      </c>
      <c r="Z77" s="64">
        <v>29200</v>
      </c>
      <c r="AA77" s="80">
        <f>Z77/P77*100</f>
        <v>141.16509547981627</v>
      </c>
      <c r="AB77" s="82">
        <f>Z77-P77</f>
        <v>8515</v>
      </c>
      <c r="AC77" s="286"/>
      <c r="AD77" s="185">
        <f t="shared" si="5"/>
        <v>710200</v>
      </c>
      <c r="AE77" s="64">
        <f>680402.75+29797.25</f>
        <v>710200</v>
      </c>
      <c r="AF77" s="22"/>
      <c r="AG77" s="172"/>
      <c r="AH77" s="246">
        <f>94143.81+11352.5+2497.55+26627.8+5858.11+9600+11352.5+2497.55+1195.2+23010</f>
        <v>188135.02</v>
      </c>
      <c r="AI77" s="252">
        <f t="shared" si="7"/>
        <v>26.49042804843706</v>
      </c>
    </row>
    <row r="78" spans="1:35" s="2" customFormat="1" ht="18.75">
      <c r="A78" s="206"/>
      <c r="B78" s="206" t="s">
        <v>36</v>
      </c>
      <c r="C78" s="207"/>
      <c r="D78" s="158" t="s">
        <v>127</v>
      </c>
      <c r="E78" s="47"/>
      <c r="F78" s="47"/>
      <c r="G78" s="47"/>
      <c r="H78" s="47"/>
      <c r="I78" s="47"/>
      <c r="J78" s="47"/>
      <c r="K78" s="47"/>
      <c r="L78" s="47"/>
      <c r="M78" s="211"/>
      <c r="N78" s="228"/>
      <c r="O78" s="210"/>
      <c r="P78" s="209" t="e">
        <f>P79+P80+#REF!+P81+P82</f>
        <v>#REF!</v>
      </c>
      <c r="Q78" s="229"/>
      <c r="R78" s="215"/>
      <c r="S78" s="215"/>
      <c r="T78" s="229"/>
      <c r="U78" s="229"/>
      <c r="V78" s="211"/>
      <c r="W78" s="211"/>
      <c r="X78" s="229"/>
      <c r="Y78" s="230"/>
      <c r="Z78" s="209" t="e">
        <f>Z79+Z80+#REF!+Z81+Z82</f>
        <v>#REF!</v>
      </c>
      <c r="AA78" s="211"/>
      <c r="AB78" s="214"/>
      <c r="AC78" s="215"/>
      <c r="AD78" s="218">
        <f t="shared" si="5"/>
        <v>26927959.392149</v>
      </c>
      <c r="AE78" s="209">
        <f>AE79+AE80+AE81+AE82</f>
        <v>26927959.392149</v>
      </c>
      <c r="AF78" s="215"/>
      <c r="AG78" s="215"/>
      <c r="AH78" s="251">
        <f>AH79+AH80+AH81+AH82</f>
        <v>10177653.84</v>
      </c>
      <c r="AI78" s="252">
        <f t="shared" si="7"/>
        <v>37.79586002705928</v>
      </c>
    </row>
    <row r="79" spans="1:35" ht="18.75">
      <c r="A79" s="36" t="s">
        <v>128</v>
      </c>
      <c r="B79" s="36"/>
      <c r="C79" s="44" t="s">
        <v>129</v>
      </c>
      <c r="D79" s="83" t="s">
        <v>130</v>
      </c>
      <c r="E79" s="62"/>
      <c r="F79" s="62"/>
      <c r="G79" s="62"/>
      <c r="H79" s="62"/>
      <c r="I79" s="62"/>
      <c r="J79" s="62"/>
      <c r="K79" s="62"/>
      <c r="L79" s="62"/>
      <c r="M79" s="63">
        <v>5104000</v>
      </c>
      <c r="N79" s="76"/>
      <c r="O79" s="67">
        <f>P79+Q79</f>
        <v>8219357.757999999</v>
      </c>
      <c r="P79" s="63">
        <f>Q79+R79</f>
        <v>4109678.8789999997</v>
      </c>
      <c r="Q79" s="72">
        <f>5104000-994321.121</f>
        <v>4109678.8789999997</v>
      </c>
      <c r="R79" s="84"/>
      <c r="S79" s="84"/>
      <c r="T79" s="72">
        <f>307554.9+660163.29+188518.82+197590.73+136793.57+167192.17+227989.31+243188.57+455978.54</f>
        <v>2584969.9</v>
      </c>
      <c r="U79" s="72"/>
      <c r="V79" s="72">
        <v>0</v>
      </c>
      <c r="W79" s="72"/>
      <c r="X79" s="72">
        <f>307554.9+660163.29+188518.82+197590.73+136793.57+167192.17+227989.31+243188.57+455978.54+258387.82</f>
        <v>2843357.7199999997</v>
      </c>
      <c r="Y79" s="74">
        <f>X79/P79*100</f>
        <v>69.18685872342095</v>
      </c>
      <c r="Z79" s="64">
        <v>8044223</v>
      </c>
      <c r="AA79" s="72">
        <f>Z79/P79*100</f>
        <v>195.73848071451718</v>
      </c>
      <c r="AB79" s="86">
        <f>Z79-P79</f>
        <v>3934544.1210000003</v>
      </c>
      <c r="AC79" s="57" t="s">
        <v>131</v>
      </c>
      <c r="AD79" s="185">
        <f t="shared" si="5"/>
        <v>4442562.868199</v>
      </c>
      <c r="AE79" s="54">
        <f>P79+P79*8.1%</f>
        <v>4442562.868199</v>
      </c>
      <c r="AF79" s="22"/>
      <c r="AG79" s="22"/>
      <c r="AH79" s="246">
        <f>948917.94+163090.75+163090.74+179399.82+163090.75</f>
        <v>1617590</v>
      </c>
      <c r="AI79" s="143">
        <f t="shared" si="7"/>
        <v>36.41118984672389</v>
      </c>
    </row>
    <row r="80" spans="1:35" ht="18.75">
      <c r="A80" s="36" t="s">
        <v>132</v>
      </c>
      <c r="B80" s="36"/>
      <c r="C80" s="44" t="s">
        <v>129</v>
      </c>
      <c r="D80" s="60" t="s">
        <v>133</v>
      </c>
      <c r="E80" s="62"/>
      <c r="F80" s="62"/>
      <c r="G80" s="62"/>
      <c r="H80" s="62"/>
      <c r="I80" s="62"/>
      <c r="J80" s="62"/>
      <c r="K80" s="62"/>
      <c r="L80" s="62"/>
      <c r="M80" s="63">
        <v>15799500</v>
      </c>
      <c r="N80" s="76"/>
      <c r="O80" s="67">
        <f>P80+Q80</f>
        <v>38043075.9</v>
      </c>
      <c r="P80" s="63">
        <f>Q80+R80</f>
        <v>19021537.95</v>
      </c>
      <c r="Q80" s="72">
        <f>15542500+3519037.95-40000</f>
        <v>19021537.95</v>
      </c>
      <c r="R80" s="84"/>
      <c r="S80" s="84"/>
      <c r="T80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72"/>
      <c r="V80" s="72">
        <f>41814854.5-3647031.42</f>
        <v>38167823.08</v>
      </c>
      <c r="W80" s="72"/>
      <c r="X80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74">
        <f>X80/P80*100</f>
        <v>83.42234409074163</v>
      </c>
      <c r="Z80" s="64">
        <f>13776827+8308804.5+7685000</f>
        <v>29770631.5</v>
      </c>
      <c r="AA80" s="72">
        <f>Z80/P80*100</f>
        <v>156.51011804752625</v>
      </c>
      <c r="AB80" s="86">
        <f>Z80-P80</f>
        <v>10749093.55</v>
      </c>
      <c r="AC80" s="87"/>
      <c r="AD80" s="185">
        <f t="shared" si="5"/>
        <v>20562282.52395</v>
      </c>
      <c r="AE80" s="54">
        <f>P80+P80*8.1%</f>
        <v>20562282.52395</v>
      </c>
      <c r="AF80" s="22"/>
      <c r="AG80" s="22"/>
      <c r="AH80" s="246">
        <f>5188613.57+805957.41+217308.34+168393.6+248352.38+168297.6+725973.54+436443.28+77738.63+398809.3+124176.19</f>
        <v>8560063.84</v>
      </c>
      <c r="AI80" s="143">
        <f t="shared" si="7"/>
        <v>41.62993009180587</v>
      </c>
    </row>
    <row r="81" spans="1:35" ht="16.5" customHeight="1">
      <c r="A81" s="36"/>
      <c r="B81" s="36"/>
      <c r="C81" s="44"/>
      <c r="D81" s="60" t="s">
        <v>134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400000</v>
      </c>
      <c r="AA81" s="80"/>
      <c r="AB81" s="82"/>
      <c r="AC81" s="22"/>
      <c r="AD81" s="185">
        <f t="shared" si="5"/>
        <v>200000</v>
      </c>
      <c r="AE81" s="54">
        <f>Z81-200000</f>
        <v>200000</v>
      </c>
      <c r="AF81" s="22"/>
      <c r="AG81" s="22"/>
      <c r="AH81" s="246"/>
      <c r="AI81" s="143">
        <f t="shared" si="7"/>
        <v>0</v>
      </c>
    </row>
    <row r="82" spans="1:35" ht="18.75">
      <c r="A82" s="36"/>
      <c r="B82" s="36"/>
      <c r="C82" s="44"/>
      <c r="D82" s="60" t="s">
        <v>135</v>
      </c>
      <c r="E82" s="61"/>
      <c r="F82" s="61"/>
      <c r="G82" s="61"/>
      <c r="H82" s="61"/>
      <c r="I82" s="61"/>
      <c r="J82" s="61"/>
      <c r="K82" s="61"/>
      <c r="L82" s="61"/>
      <c r="M82" s="88"/>
      <c r="N82" s="89"/>
      <c r="O82" s="90"/>
      <c r="P82" s="63">
        <v>0</v>
      </c>
      <c r="Q82" s="72"/>
      <c r="R82" s="84"/>
      <c r="S82" s="84"/>
      <c r="T82" s="72"/>
      <c r="U82" s="72"/>
      <c r="V82" s="72"/>
      <c r="W82" s="72"/>
      <c r="X82" s="72"/>
      <c r="Y82" s="74"/>
      <c r="Z82" s="64">
        <v>1723114</v>
      </c>
      <c r="AA82" s="80"/>
      <c r="AB82" s="82"/>
      <c r="AC82" s="22"/>
      <c r="AD82" s="185">
        <f t="shared" si="5"/>
        <v>1723114</v>
      </c>
      <c r="AE82" s="54">
        <f>Z82</f>
        <v>1723114</v>
      </c>
      <c r="AF82" s="22"/>
      <c r="AG82" s="22"/>
      <c r="AH82" s="244"/>
      <c r="AI82" s="252">
        <f t="shared" si="7"/>
        <v>0</v>
      </c>
    </row>
    <row r="83" spans="1:35" s="2" customFormat="1" ht="18.75">
      <c r="A83" s="206" t="s">
        <v>136</v>
      </c>
      <c r="B83" s="206" t="s">
        <v>37</v>
      </c>
      <c r="C83" s="207" t="s">
        <v>138</v>
      </c>
      <c r="D83" s="208" t="s">
        <v>139</v>
      </c>
      <c r="E83" s="47"/>
      <c r="F83" s="47"/>
      <c r="G83" s="47"/>
      <c r="H83" s="47"/>
      <c r="I83" s="47"/>
      <c r="J83" s="47"/>
      <c r="K83" s="47"/>
      <c r="L83" s="47"/>
      <c r="M83" s="209">
        <v>0</v>
      </c>
      <c r="N83" s="228"/>
      <c r="O83" s="210">
        <f>P83+Q83</f>
        <v>514000</v>
      </c>
      <c r="P83" s="209">
        <f>Q83+R83</f>
        <v>257000</v>
      </c>
      <c r="Q83" s="211">
        <v>257000</v>
      </c>
      <c r="R83" s="215"/>
      <c r="S83" s="215"/>
      <c r="T83" s="211">
        <f>23700.62+50875.25+50875.25+50775.25</f>
        <v>176226.37</v>
      </c>
      <c r="U83" s="211"/>
      <c r="V83" s="211">
        <f>P83*(0.9)</f>
        <v>231300</v>
      </c>
      <c r="W83" s="211"/>
      <c r="X83" s="211">
        <f>23700.62+50875.25+50875.25+50775.25</f>
        <v>176226.37</v>
      </c>
      <c r="Y83" s="213">
        <f>X83/P83*100</f>
        <v>68.57057198443579</v>
      </c>
      <c r="Z83" s="161">
        <v>346347.28</v>
      </c>
      <c r="AA83" s="211">
        <f aca="true" t="shared" si="13" ref="AA83:AA90">Z83/P83*100</f>
        <v>134.7654785992218</v>
      </c>
      <c r="AB83" s="214">
        <f aca="true" t="shared" si="14" ref="AB83:AB105">Z83-P83</f>
        <v>89347.28000000003</v>
      </c>
      <c r="AC83" s="215"/>
      <c r="AD83" s="218">
        <f t="shared" si="5"/>
        <v>277817</v>
      </c>
      <c r="AE83" s="161">
        <f>P83+P83*8.1%</f>
        <v>277817</v>
      </c>
      <c r="AF83" s="215"/>
      <c r="AG83" s="215"/>
      <c r="AH83" s="245"/>
      <c r="AI83" s="252">
        <f t="shared" si="7"/>
        <v>0</v>
      </c>
    </row>
    <row r="84" spans="1:35" s="2" customFormat="1" ht="16.5" customHeight="1">
      <c r="A84" s="206" t="s">
        <v>140</v>
      </c>
      <c r="B84" s="206" t="s">
        <v>38</v>
      </c>
      <c r="C84" s="207" t="s">
        <v>142</v>
      </c>
      <c r="D84" s="208" t="s">
        <v>143</v>
      </c>
      <c r="E84" s="47"/>
      <c r="F84" s="47"/>
      <c r="G84" s="47"/>
      <c r="H84" s="47"/>
      <c r="I84" s="47"/>
      <c r="J84" s="47"/>
      <c r="K84" s="47"/>
      <c r="L84" s="47"/>
      <c r="M84" s="211">
        <f>L84</f>
        <v>0</v>
      </c>
      <c r="N84" s="228"/>
      <c r="O84" s="210">
        <f>O85</f>
        <v>1930883.46</v>
      </c>
      <c r="P84" s="209">
        <f>P85</f>
        <v>1930883.46</v>
      </c>
      <c r="Q84" s="211">
        <f>P84</f>
        <v>1930883.46</v>
      </c>
      <c r="R84" s="212"/>
      <c r="S84" s="212"/>
      <c r="T84" s="211">
        <f>T85</f>
        <v>859642.65</v>
      </c>
      <c r="U84" s="211"/>
      <c r="V84" s="211">
        <f>P84*(0.9)</f>
        <v>1737795.114</v>
      </c>
      <c r="W84" s="211"/>
      <c r="X84" s="211">
        <f>X85</f>
        <v>859642.65</v>
      </c>
      <c r="Y84" s="213">
        <f>X84/P84*100</f>
        <v>44.52069054442053</v>
      </c>
      <c r="Z84" s="161">
        <f>Z85</f>
        <v>17397438</v>
      </c>
      <c r="AA84" s="211">
        <f t="shared" si="13"/>
        <v>901.0092198935714</v>
      </c>
      <c r="AB84" s="214">
        <f t="shared" si="14"/>
        <v>15466554.54</v>
      </c>
      <c r="AC84" s="212"/>
      <c r="AD84" s="218">
        <f t="shared" si="5"/>
        <v>7023700</v>
      </c>
      <c r="AE84" s="161">
        <f>AE85</f>
        <v>7023700</v>
      </c>
      <c r="AF84" s="215"/>
      <c r="AG84" s="215"/>
      <c r="AH84" s="242">
        <f>AH85</f>
        <v>1663764.1699999997</v>
      </c>
      <c r="AI84" s="252">
        <f t="shared" si="7"/>
        <v>23.68785924797471</v>
      </c>
    </row>
    <row r="85" spans="1:35" ht="35.25" customHeight="1">
      <c r="A85" s="36"/>
      <c r="B85" s="36"/>
      <c r="C85" s="44"/>
      <c r="D85" s="92" t="s">
        <v>144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71">
        <f>P85</f>
        <v>1930883.46</v>
      </c>
      <c r="P85" s="63">
        <v>1930883.46</v>
      </c>
      <c r="Q85" s="72">
        <v>1589311.46</v>
      </c>
      <c r="R85" s="73"/>
      <c r="S85" s="73"/>
      <c r="T85" s="55">
        <f>201636.21+106959.16+388332+795.26+161920.02</f>
        <v>859642.65</v>
      </c>
      <c r="U85" s="55"/>
      <c r="V85" s="55">
        <f>V86+V87</f>
        <v>17397438</v>
      </c>
      <c r="W85" s="55">
        <v>10385400</v>
      </c>
      <c r="X85" s="72">
        <f>201636.21+106959.16+388332+795.26+161920.02</f>
        <v>859642.65</v>
      </c>
      <c r="Y85" s="74">
        <f>X85/P85*100</f>
        <v>44.52069054442053</v>
      </c>
      <c r="Z85" s="64">
        <v>17397438</v>
      </c>
      <c r="AA85" s="55">
        <f t="shared" si="13"/>
        <v>901.0092198935714</v>
      </c>
      <c r="AB85" s="56">
        <f t="shared" si="14"/>
        <v>15466554.54</v>
      </c>
      <c r="AC85" s="87" t="s">
        <v>145</v>
      </c>
      <c r="AD85" s="185">
        <f t="shared" si="5"/>
        <v>7023700</v>
      </c>
      <c r="AE85" s="93">
        <v>7023700</v>
      </c>
      <c r="AF85" s="52"/>
      <c r="AG85" s="52"/>
      <c r="AH85" s="246">
        <f>956537.59+157430.78+70729.77+216774.62+262291.41</f>
        <v>1663764.1699999997</v>
      </c>
      <c r="AI85" s="143">
        <f t="shared" si="7"/>
        <v>23.68785924797471</v>
      </c>
    </row>
    <row r="86" spans="1:35" ht="18.75" hidden="1">
      <c r="A86" s="36"/>
      <c r="B86" s="36"/>
      <c r="C86" s="44"/>
      <c r="D86" s="94" t="s">
        <v>146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1145765.29</v>
      </c>
      <c r="Q86" s="72"/>
      <c r="R86" s="96"/>
      <c r="S86" s="96"/>
      <c r="T86" s="80"/>
      <c r="U86" s="80"/>
      <c r="V86" s="72">
        <v>12523990</v>
      </c>
      <c r="W86" s="72"/>
      <c r="X86" s="97"/>
      <c r="Y86" s="81"/>
      <c r="Z86" s="98">
        <v>12523990</v>
      </c>
      <c r="AA86" s="80">
        <f t="shared" si="13"/>
        <v>1093.0676735721327</v>
      </c>
      <c r="AB86" s="82">
        <f t="shared" si="14"/>
        <v>11378224.71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/>
      <c r="B87" s="36"/>
      <c r="C87" s="44"/>
      <c r="D87" s="94" t="s">
        <v>147</v>
      </c>
      <c r="E87" s="61"/>
      <c r="F87" s="61"/>
      <c r="G87" s="61"/>
      <c r="H87" s="61"/>
      <c r="I87" s="61"/>
      <c r="J87" s="61"/>
      <c r="K87" s="61"/>
      <c r="L87" s="61"/>
      <c r="M87" s="70">
        <v>0</v>
      </c>
      <c r="N87" s="89"/>
      <c r="O87" s="67"/>
      <c r="P87" s="95">
        <v>443546.17</v>
      </c>
      <c r="Q87" s="72"/>
      <c r="R87" s="96"/>
      <c r="S87" s="96"/>
      <c r="T87" s="80"/>
      <c r="U87" s="80"/>
      <c r="V87" s="72">
        <v>4873448</v>
      </c>
      <c r="W87" s="72"/>
      <c r="X87" s="97"/>
      <c r="Y87" s="81"/>
      <c r="Z87" s="98">
        <v>4873448</v>
      </c>
      <c r="AA87" s="80">
        <f t="shared" si="13"/>
        <v>1098.746495770666</v>
      </c>
      <c r="AB87" s="82">
        <f t="shared" si="14"/>
        <v>4429901.83</v>
      </c>
      <c r="AC87" s="22"/>
      <c r="AD87" s="185">
        <f t="shared" si="5"/>
        <v>0</v>
      </c>
      <c r="AE87" s="99"/>
      <c r="AF87" s="22"/>
      <c r="AG87" s="22"/>
      <c r="AH87" s="246"/>
      <c r="AI87" s="143" t="e">
        <f t="shared" si="7"/>
        <v>#DIV/0!</v>
      </c>
    </row>
    <row r="88" spans="1:35" ht="18.75" hidden="1">
      <c r="A88" s="36" t="s">
        <v>148</v>
      </c>
      <c r="B88" s="36"/>
      <c r="C88" s="100"/>
      <c r="D88" s="101" t="s">
        <v>149</v>
      </c>
      <c r="E88" s="102">
        <f>20554.4+1254+42.4</f>
        <v>21850.800000000003</v>
      </c>
      <c r="F88" s="102">
        <f>20118.2+1254+42.4</f>
        <v>21414.600000000002</v>
      </c>
      <c r="G88" s="102">
        <f>166.5+18.4</f>
        <v>184.9</v>
      </c>
      <c r="H88" s="102">
        <f>19951.7+1254+24</f>
        <v>21229.7</v>
      </c>
      <c r="I88" s="103">
        <f>25447.6+198</f>
        <v>25645.6</v>
      </c>
      <c r="J88" s="103">
        <v>10120.4</v>
      </c>
      <c r="K88" s="102">
        <v>21229.7</v>
      </c>
      <c r="L88" s="103"/>
      <c r="M88" s="104">
        <f>M89+M90</f>
        <v>25052300</v>
      </c>
      <c r="N88" s="103"/>
      <c r="O88" s="105">
        <f>P88+Q88</f>
        <v>18162154.96</v>
      </c>
      <c r="P88" s="106"/>
      <c r="Q88" s="104">
        <f>Q89+Q90</f>
        <v>18162154.96</v>
      </c>
      <c r="R88" s="107"/>
      <c r="S88" s="107"/>
      <c r="T88" s="104">
        <f>T89+T90</f>
        <v>18162151.85</v>
      </c>
      <c r="U88" s="104"/>
      <c r="V88" s="104">
        <v>0</v>
      </c>
      <c r="W88" s="104"/>
      <c r="X88" s="104">
        <f>X89+X90</f>
        <v>18162151.85</v>
      </c>
      <c r="Y88" s="108" t="e">
        <f>X88/P88*100</f>
        <v>#DIV/0!</v>
      </c>
      <c r="Z88" s="106">
        <f>Z89+Z90</f>
        <v>0</v>
      </c>
      <c r="AA88" s="104" t="e">
        <f t="shared" si="13"/>
        <v>#DIV/0!</v>
      </c>
      <c r="AB88" s="109">
        <f t="shared" si="14"/>
        <v>0</v>
      </c>
      <c r="AC88" s="107"/>
      <c r="AD88" s="185">
        <f t="shared" si="5"/>
        <v>0</v>
      </c>
      <c r="AE88" s="110"/>
      <c r="AF88" s="173"/>
      <c r="AG88" s="22"/>
      <c r="AH88" s="246"/>
      <c r="AI88" s="143" t="e">
        <f t="shared" si="7"/>
        <v>#DIV/0!</v>
      </c>
    </row>
    <row r="89" spans="1:35" ht="56.25" hidden="1">
      <c r="A89" s="43"/>
      <c r="B89" s="43"/>
      <c r="C89" s="273" t="s">
        <v>150</v>
      </c>
      <c r="D89" s="112" t="s">
        <v>95</v>
      </c>
      <c r="E89" s="113"/>
      <c r="F89" s="113"/>
      <c r="G89" s="113"/>
      <c r="H89" s="113"/>
      <c r="I89" s="114"/>
      <c r="J89" s="114"/>
      <c r="K89" s="114"/>
      <c r="L89" s="115"/>
      <c r="M89" s="116">
        <v>7232100</v>
      </c>
      <c r="N89" s="117"/>
      <c r="O89" s="118">
        <f>P89+Q89</f>
        <v>13707388.44</v>
      </c>
      <c r="P89" s="119">
        <f>Q89+R89</f>
        <v>6853694.22</v>
      </c>
      <c r="Q89" s="120">
        <f>7232100-378405.78</f>
        <v>6853694.22</v>
      </c>
      <c r="R89" s="107"/>
      <c r="S89" s="107"/>
      <c r="T89" s="120">
        <f>1341065+264830+1439254.25+119395.75+507870+59340+35936.5+335196.18+472850.38+220509.52+38684.18+107682.7+71415+175089.2+268474.5+377603.92+171362.7+194439.28+227897.54+71415+353382.62</f>
        <v>6853694.220000001</v>
      </c>
      <c r="U89" s="120"/>
      <c r="V89" s="104">
        <v>0</v>
      </c>
      <c r="W89" s="104"/>
      <c r="X89" s="120">
        <f>1341065+264830+1439254.25+119395.75+507870+59340+35936.5+335196.18+472850.38+220509.52+38684.18+107682.7+71415+175089.2+268474.5+377603.92+171362.7+194439.28+227897.54+71415+353382.62</f>
        <v>6853694.220000001</v>
      </c>
      <c r="Y89" s="121">
        <f>X89/P89*100</f>
        <v>100.00000000000003</v>
      </c>
      <c r="Z89" s="122">
        <v>0</v>
      </c>
      <c r="AA89" s="104">
        <f t="shared" si="13"/>
        <v>0</v>
      </c>
      <c r="AB89" s="109">
        <f t="shared" si="14"/>
        <v>-6853694.22</v>
      </c>
      <c r="AC89" s="107"/>
      <c r="AD89" s="185">
        <f t="shared" si="5"/>
        <v>0</v>
      </c>
      <c r="AE89" s="110"/>
      <c r="AF89" s="173"/>
      <c r="AG89" s="22"/>
      <c r="AH89" s="247"/>
      <c r="AI89" s="143" t="e">
        <f t="shared" si="7"/>
        <v>#DIV/0!</v>
      </c>
    </row>
    <row r="90" spans="1:35" ht="56.25" hidden="1">
      <c r="A90" s="43"/>
      <c r="B90" s="43"/>
      <c r="C90" s="273"/>
      <c r="D90" s="124" t="s">
        <v>96</v>
      </c>
      <c r="E90" s="113"/>
      <c r="F90" s="113"/>
      <c r="G90" s="113"/>
      <c r="H90" s="113"/>
      <c r="I90" s="114"/>
      <c r="J90" s="114"/>
      <c r="K90" s="114"/>
      <c r="L90" s="115"/>
      <c r="M90" s="116">
        <v>17820200</v>
      </c>
      <c r="N90" s="117"/>
      <c r="O90" s="118">
        <f>P90+Q90</f>
        <v>22616921.48</v>
      </c>
      <c r="P90" s="119">
        <f>Q90+R90</f>
        <v>11308460.74</v>
      </c>
      <c r="Q90" s="120">
        <f>17820200-6511739.26</f>
        <v>11308460.74</v>
      </c>
      <c r="R90" s="107"/>
      <c r="S90" s="107"/>
      <c r="T90" s="120">
        <f>485919.56+3050150.33+4015340.79+1228787.45+1461675.45+214759.4+851824.65</f>
        <v>11308457.629999999</v>
      </c>
      <c r="U90" s="120"/>
      <c r="V90" s="104">
        <v>0</v>
      </c>
      <c r="W90" s="104"/>
      <c r="X90" s="120">
        <f>485919.56+3050150.33+4015340.79+1228787.45+1461675.45+214759.4+851824.65</f>
        <v>11308457.629999999</v>
      </c>
      <c r="Y90" s="121">
        <f>X90/P90*100</f>
        <v>99.99997249846754</v>
      </c>
      <c r="Z90" s="122">
        <v>0</v>
      </c>
      <c r="AA90" s="104">
        <f t="shared" si="13"/>
        <v>0</v>
      </c>
      <c r="AB90" s="109">
        <f t="shared" si="14"/>
        <v>-11308460.74</v>
      </c>
      <c r="AC90" s="107"/>
      <c r="AD90" s="185">
        <f t="shared" si="5"/>
        <v>0</v>
      </c>
      <c r="AE90" s="110"/>
      <c r="AF90" s="173"/>
      <c r="AG90" s="22"/>
      <c r="AH90" s="246"/>
      <c r="AI90" s="143" t="e">
        <f t="shared" si="7"/>
        <v>#DIV/0!</v>
      </c>
    </row>
    <row r="91" spans="1:35" s="2" customFormat="1" ht="18.75">
      <c r="A91" s="206"/>
      <c r="B91" s="206" t="s">
        <v>39</v>
      </c>
      <c r="C91" s="207" t="s">
        <v>98</v>
      </c>
      <c r="D91" s="208" t="s">
        <v>99</v>
      </c>
      <c r="E91" s="47"/>
      <c r="F91" s="47"/>
      <c r="G91" s="47"/>
      <c r="H91" s="47"/>
      <c r="I91" s="47"/>
      <c r="J91" s="47"/>
      <c r="K91" s="47"/>
      <c r="L91" s="47"/>
      <c r="M91" s="209">
        <v>0</v>
      </c>
      <c r="N91" s="209">
        <v>0</v>
      </c>
      <c r="O91" s="209">
        <v>0</v>
      </c>
      <c r="P91" s="209">
        <v>0</v>
      </c>
      <c r="Q91" s="209">
        <v>0</v>
      </c>
      <c r="R91" s="209">
        <v>0</v>
      </c>
      <c r="S91" s="209">
        <v>0</v>
      </c>
      <c r="T91" s="209">
        <v>0</v>
      </c>
      <c r="U91" s="209"/>
      <c r="V91" s="211">
        <v>212856.4</v>
      </c>
      <c r="W91" s="211"/>
      <c r="X91" s="209">
        <v>0</v>
      </c>
      <c r="Y91" s="209">
        <v>0</v>
      </c>
      <c r="Z91" s="161">
        <f>Z92+Z93</f>
        <v>212856.4</v>
      </c>
      <c r="AA91" s="211"/>
      <c r="AB91" s="214">
        <f t="shared" si="14"/>
        <v>212856.4</v>
      </c>
      <c r="AC91" s="212"/>
      <c r="AD91" s="218">
        <f t="shared" si="5"/>
        <v>212856.4</v>
      </c>
      <c r="AE91" s="161">
        <f>AE92+AE93</f>
        <v>212856.4</v>
      </c>
      <c r="AF91" s="215"/>
      <c r="AG91" s="215"/>
      <c r="AH91" s="251">
        <f>AH92+AH93</f>
        <v>0</v>
      </c>
      <c r="AI91" s="252">
        <f t="shared" si="7"/>
        <v>0</v>
      </c>
    </row>
    <row r="92" spans="1:35" ht="18.75">
      <c r="A92" s="43"/>
      <c r="B92" s="43"/>
      <c r="C92" s="44"/>
      <c r="D92" s="60" t="s">
        <v>155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100000</v>
      </c>
      <c r="AA92" s="80" t="e">
        <f aca="true" t="shared" si="15" ref="AA92:AA105">Z92/P92*100</f>
        <v>#DIV/0!</v>
      </c>
      <c r="AB92" s="82">
        <f t="shared" si="14"/>
        <v>100000</v>
      </c>
      <c r="AC92" s="52"/>
      <c r="AD92" s="185">
        <f t="shared" si="5"/>
        <v>100000</v>
      </c>
      <c r="AE92" s="64">
        <v>100000</v>
      </c>
      <c r="AF92" s="173"/>
      <c r="AG92" s="22"/>
      <c r="AH92" s="246"/>
      <c r="AI92" s="143">
        <f t="shared" si="7"/>
        <v>0</v>
      </c>
    </row>
    <row r="93" spans="1:35" ht="19.5" customHeight="1">
      <c r="A93" s="43"/>
      <c r="B93" s="43"/>
      <c r="C93" s="44"/>
      <c r="D93" s="60" t="s">
        <v>156</v>
      </c>
      <c r="E93" s="79"/>
      <c r="F93" s="79"/>
      <c r="G93" s="79"/>
      <c r="H93" s="79"/>
      <c r="I93" s="79"/>
      <c r="J93" s="79"/>
      <c r="K93" s="79"/>
      <c r="L93" s="79"/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/>
      <c r="V93" s="80">
        <f>P93*(0.9)</f>
        <v>0</v>
      </c>
      <c r="W93" s="80"/>
      <c r="X93" s="63">
        <v>0</v>
      </c>
      <c r="Y93" s="63">
        <v>0</v>
      </c>
      <c r="Z93" s="64">
        <v>112856.4</v>
      </c>
      <c r="AA93" s="80" t="e">
        <f t="shared" si="15"/>
        <v>#DIV/0!</v>
      </c>
      <c r="AB93" s="82">
        <f t="shared" si="14"/>
        <v>112856.4</v>
      </c>
      <c r="AC93" s="52"/>
      <c r="AD93" s="185">
        <f t="shared" si="5"/>
        <v>112856.4</v>
      </c>
      <c r="AE93" s="64">
        <v>112856.4</v>
      </c>
      <c r="AF93" s="173"/>
      <c r="AG93" s="22"/>
      <c r="AH93" s="246"/>
      <c r="AI93" s="143">
        <f t="shared" si="7"/>
        <v>0</v>
      </c>
    </row>
    <row r="94" spans="1:35" s="227" customFormat="1" ht="22.5" customHeight="1">
      <c r="A94" s="206" t="s">
        <v>157</v>
      </c>
      <c r="B94" s="206" t="s">
        <v>40</v>
      </c>
      <c r="C94" s="207"/>
      <c r="D94" s="219" t="s">
        <v>159</v>
      </c>
      <c r="E94" s="220"/>
      <c r="F94" s="220"/>
      <c r="G94" s="220"/>
      <c r="H94" s="220"/>
      <c r="I94" s="220"/>
      <c r="J94" s="220"/>
      <c r="K94" s="220"/>
      <c r="L94" s="220"/>
      <c r="M94" s="221">
        <f>M96+M95</f>
        <v>325000</v>
      </c>
      <c r="N94" s="220"/>
      <c r="O94" s="210">
        <f aca="true" t="shared" si="16" ref="O94:O105">P94+Q94</f>
        <v>2067000</v>
      </c>
      <c r="P94" s="209">
        <f aca="true" t="shared" si="17" ref="P94:P105">Q94+R94</f>
        <v>1033500</v>
      </c>
      <c r="Q94" s="222">
        <f>Q96+Q95</f>
        <v>1033500</v>
      </c>
      <c r="R94" s="216"/>
      <c r="S94" s="216"/>
      <c r="T94" s="222">
        <f>T96+T95</f>
        <v>669069.4899999999</v>
      </c>
      <c r="U94" s="222"/>
      <c r="V94" s="222">
        <f>V96+V95</f>
        <v>1189112</v>
      </c>
      <c r="W94" s="223"/>
      <c r="X94" s="222">
        <f>X96+X95</f>
        <v>669069.4899999999</v>
      </c>
      <c r="Y94" s="217">
        <f>X94/P94*100</f>
        <v>64.73821867440735</v>
      </c>
      <c r="Z94" s="224">
        <f>Z96+Z95</f>
        <v>1189112</v>
      </c>
      <c r="AA94" s="223">
        <f t="shared" si="15"/>
        <v>115.05679729075955</v>
      </c>
      <c r="AB94" s="225">
        <f t="shared" si="14"/>
        <v>155612</v>
      </c>
      <c r="AC94" s="280" t="s">
        <v>160</v>
      </c>
      <c r="AD94" s="218">
        <f t="shared" si="5"/>
        <v>1189112</v>
      </c>
      <c r="AE94" s="162">
        <v>1189112</v>
      </c>
      <c r="AF94" s="226"/>
      <c r="AG94" s="226"/>
      <c r="AH94" s="251">
        <f>AH95+AH96</f>
        <v>71266.23</v>
      </c>
      <c r="AI94" s="252">
        <f t="shared" si="7"/>
        <v>5.993231083363047</v>
      </c>
    </row>
    <row r="95" spans="1:35" ht="19.5">
      <c r="A95" s="43"/>
      <c r="B95" s="43"/>
      <c r="C95" s="44" t="s">
        <v>161</v>
      </c>
      <c r="D95" s="60" t="s">
        <v>162</v>
      </c>
      <c r="E95" s="126"/>
      <c r="F95" s="126"/>
      <c r="G95" s="126"/>
      <c r="H95" s="126"/>
      <c r="I95" s="126"/>
      <c r="J95" s="126"/>
      <c r="K95" s="126"/>
      <c r="L95" s="126"/>
      <c r="M95" s="127">
        <v>225000</v>
      </c>
      <c r="N95" s="126"/>
      <c r="O95" s="67">
        <f t="shared" si="16"/>
        <v>1867000</v>
      </c>
      <c r="P95" s="63">
        <f t="shared" si="17"/>
        <v>933500</v>
      </c>
      <c r="Q95" s="128">
        <f>225000+378500+30000+300000</f>
        <v>933500</v>
      </c>
      <c r="R95" s="73"/>
      <c r="S95" s="73"/>
      <c r="T95" s="128">
        <f>12823.97+314438.51+1053.06+121644.29+64211.93+20568.88+13082.39+4993.7+64170</f>
        <v>616986.7299999999</v>
      </c>
      <c r="U95" s="128"/>
      <c r="V95" s="77">
        <v>1089113.5</v>
      </c>
      <c r="W95" s="55"/>
      <c r="X95" s="128">
        <f>12823.97+314438.51+1053.06+121644.29+64211.93+20568.88+13082.39+4993.7+64170</f>
        <v>616986.7299999999</v>
      </c>
      <c r="Y95" s="74">
        <f>X95/P95*100</f>
        <v>66.09391858596678</v>
      </c>
      <c r="Z95" s="64">
        <v>1089113.5</v>
      </c>
      <c r="AA95" s="55">
        <f t="shared" si="15"/>
        <v>116.66989823245848</v>
      </c>
      <c r="AB95" s="56">
        <f t="shared" si="14"/>
        <v>155613.5</v>
      </c>
      <c r="AC95" s="280"/>
      <c r="AD95" s="185">
        <f t="shared" si="5"/>
        <v>1089113.5</v>
      </c>
      <c r="AE95" s="129">
        <f>Z95</f>
        <v>1089113.5</v>
      </c>
      <c r="AF95" s="173"/>
      <c r="AG95" s="22"/>
      <c r="AH95" s="254">
        <v>64659.38</v>
      </c>
      <c r="AI95" s="143">
        <f t="shared" si="7"/>
        <v>5.93688169323032</v>
      </c>
    </row>
    <row r="96" spans="1:35" ht="19.5">
      <c r="A96" s="43"/>
      <c r="B96" s="43"/>
      <c r="C96" s="44" t="s">
        <v>161</v>
      </c>
      <c r="D96" s="60" t="s">
        <v>163</v>
      </c>
      <c r="E96" s="126"/>
      <c r="F96" s="126"/>
      <c r="G96" s="126"/>
      <c r="H96" s="126"/>
      <c r="I96" s="126"/>
      <c r="J96" s="126"/>
      <c r="K96" s="126"/>
      <c r="L96" s="126"/>
      <c r="M96" s="127">
        <v>100000</v>
      </c>
      <c r="N96" s="126"/>
      <c r="O96" s="67">
        <f t="shared" si="16"/>
        <v>200000</v>
      </c>
      <c r="P96" s="63">
        <f t="shared" si="17"/>
        <v>100000</v>
      </c>
      <c r="Q96" s="128">
        <v>100000</v>
      </c>
      <c r="R96" s="73"/>
      <c r="S96" s="73"/>
      <c r="T96" s="128">
        <f>385.27+6084.22+13129.31+12261.98+8270.72+11951.26</f>
        <v>52082.76</v>
      </c>
      <c r="U96" s="128"/>
      <c r="V96" s="77">
        <v>99998.5</v>
      </c>
      <c r="W96" s="55"/>
      <c r="X96" s="128">
        <f>385.27+6084.22+13129.31+12261.98+8270.72+11951.26</f>
        <v>52082.76</v>
      </c>
      <c r="Y96" s="74">
        <f>X96/P96*100</f>
        <v>52.08276000000001</v>
      </c>
      <c r="Z96" s="64">
        <v>99998.5</v>
      </c>
      <c r="AA96" s="55">
        <f t="shared" si="15"/>
        <v>99.9985</v>
      </c>
      <c r="AB96" s="56">
        <f t="shared" si="14"/>
        <v>-1.5</v>
      </c>
      <c r="AC96" s="280"/>
      <c r="AD96" s="185">
        <f t="shared" si="5"/>
        <v>99998.5</v>
      </c>
      <c r="AE96" s="129">
        <f>Z96</f>
        <v>99998.5</v>
      </c>
      <c r="AF96" s="173"/>
      <c r="AG96" s="22"/>
      <c r="AH96" s="255">
        <f>3627.67+2979.18</f>
        <v>6606.85</v>
      </c>
      <c r="AI96" s="143">
        <f t="shared" si="7"/>
        <v>6.606949104236564</v>
      </c>
    </row>
    <row r="97" spans="1:35" s="2" customFormat="1" ht="18.75">
      <c r="A97" s="206" t="s">
        <v>164</v>
      </c>
      <c r="B97" s="206" t="s">
        <v>41</v>
      </c>
      <c r="C97" s="207" t="s">
        <v>161</v>
      </c>
      <c r="D97" s="208" t="s">
        <v>166</v>
      </c>
      <c r="E97" s="47" t="e">
        <f>#REF!+#REF!</f>
        <v>#REF!</v>
      </c>
      <c r="F97" s="47" t="e">
        <f>#REF!+#REF!</f>
        <v>#REF!</v>
      </c>
      <c r="G97" s="47" t="e">
        <f>#REF!+#REF!</f>
        <v>#REF!</v>
      </c>
      <c r="H97" s="47" t="e">
        <f>#REF!+#REF!</f>
        <v>#REF!</v>
      </c>
      <c r="I97" s="47" t="e">
        <f>#REF!+#REF!</f>
        <v>#REF!</v>
      </c>
      <c r="J97" s="47"/>
      <c r="K97" s="47">
        <v>3916.0000000000005</v>
      </c>
      <c r="L97" s="47"/>
      <c r="M97" s="209">
        <v>59112.8</v>
      </c>
      <c r="N97" s="47"/>
      <c r="O97" s="210">
        <f t="shared" si="16"/>
        <v>118225.6</v>
      </c>
      <c r="P97" s="209">
        <f t="shared" si="17"/>
        <v>59112.8</v>
      </c>
      <c r="Q97" s="211">
        <f>59136-23.2</f>
        <v>59112.8</v>
      </c>
      <c r="R97" s="212"/>
      <c r="S97" s="212"/>
      <c r="T97" s="211">
        <v>15318.9</v>
      </c>
      <c r="U97" s="211"/>
      <c r="V97" s="211">
        <v>208100</v>
      </c>
      <c r="W97" s="211"/>
      <c r="X97" s="211">
        <v>15318.9</v>
      </c>
      <c r="Y97" s="213">
        <f>X97/P97*100</f>
        <v>25.91469191105818</v>
      </c>
      <c r="Z97" s="161">
        <v>208100</v>
      </c>
      <c r="AA97" s="211">
        <f t="shared" si="15"/>
        <v>352.03881392862456</v>
      </c>
      <c r="AB97" s="214">
        <f t="shared" si="14"/>
        <v>148987.2</v>
      </c>
      <c r="AC97" s="212" t="s">
        <v>167</v>
      </c>
      <c r="AD97" s="218">
        <f t="shared" si="5"/>
        <v>76052.53</v>
      </c>
      <c r="AE97" s="161">
        <f>P97+11241.06+5698.67</f>
        <v>76052.53</v>
      </c>
      <c r="AF97" s="215"/>
      <c r="AG97" s="215"/>
      <c r="AH97" s="245">
        <v>32017.68</v>
      </c>
      <c r="AI97" s="252">
        <f t="shared" si="7"/>
        <v>42.09942785598323</v>
      </c>
    </row>
    <row r="98" spans="1:35" s="2" customFormat="1" ht="18.75">
      <c r="A98" s="206" t="s">
        <v>168</v>
      </c>
      <c r="B98" s="206" t="s">
        <v>42</v>
      </c>
      <c r="C98" s="207" t="s">
        <v>161</v>
      </c>
      <c r="D98" s="208" t="s">
        <v>170</v>
      </c>
      <c r="E98" s="47"/>
      <c r="F98" s="47"/>
      <c r="G98" s="47"/>
      <c r="H98" s="47"/>
      <c r="I98" s="47"/>
      <c r="J98" s="47"/>
      <c r="K98" s="47"/>
      <c r="L98" s="47"/>
      <c r="M98" s="209">
        <v>0</v>
      </c>
      <c r="N98" s="47"/>
      <c r="O98" s="210">
        <f t="shared" si="16"/>
        <v>54000</v>
      </c>
      <c r="P98" s="209">
        <f t="shared" si="17"/>
        <v>27000</v>
      </c>
      <c r="Q98" s="211">
        <v>27000</v>
      </c>
      <c r="R98" s="212"/>
      <c r="S98" s="212"/>
      <c r="T98" s="211">
        <f>8994.7+8994.7</f>
        <v>17989.4</v>
      </c>
      <c r="U98" s="211"/>
      <c r="V98" s="211">
        <v>62426.4</v>
      </c>
      <c r="W98" s="211"/>
      <c r="X98" s="211">
        <f>8994.7+8994.7</f>
        <v>17989.4</v>
      </c>
      <c r="Y98" s="213"/>
      <c r="Z98" s="161">
        <v>62426.4</v>
      </c>
      <c r="AA98" s="211">
        <f t="shared" si="15"/>
        <v>231.20888888888888</v>
      </c>
      <c r="AB98" s="214">
        <f t="shared" si="14"/>
        <v>35426.4</v>
      </c>
      <c r="AC98" s="212" t="s">
        <v>87</v>
      </c>
      <c r="AD98" s="218">
        <f t="shared" si="5"/>
        <v>62426.4</v>
      </c>
      <c r="AE98" s="161">
        <f>Z98</f>
        <v>62426.4</v>
      </c>
      <c r="AF98" s="215"/>
      <c r="AG98" s="215"/>
      <c r="AH98" s="245"/>
      <c r="AI98" s="252">
        <f t="shared" si="7"/>
        <v>0</v>
      </c>
    </row>
    <row r="99" spans="1:35" ht="37.5" hidden="1">
      <c r="A99" s="36" t="s">
        <v>171</v>
      </c>
      <c r="B99" s="36" t="s">
        <v>172</v>
      </c>
      <c r="C99" s="37" t="s">
        <v>173</v>
      </c>
      <c r="D99" s="38" t="s">
        <v>174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10951615.36</v>
      </c>
      <c r="P99" s="41">
        <f t="shared" si="17"/>
        <v>5475807.68</v>
      </c>
      <c r="Q99" s="40">
        <v>5475807.68</v>
      </c>
      <c r="R99" s="130"/>
      <c r="S99" s="91"/>
      <c r="T99" s="131">
        <v>5475807.68</v>
      </c>
      <c r="U99" s="131"/>
      <c r="V99" s="40">
        <v>0</v>
      </c>
      <c r="W99" s="40"/>
      <c r="X99" s="131">
        <v>5475807.68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-5475807.68</v>
      </c>
      <c r="AC99" s="91"/>
      <c r="AD99" s="185">
        <f t="shared" si="5"/>
        <v>0</v>
      </c>
      <c r="AE99" s="41">
        <f>AE100+AE101+AE102</f>
        <v>0</v>
      </c>
      <c r="AF99" s="173"/>
      <c r="AG99" s="22"/>
      <c r="AH99" s="246"/>
      <c r="AI99" s="252" t="e">
        <f t="shared" si="7"/>
        <v>#DIV/0!</v>
      </c>
    </row>
    <row r="100" spans="1:35" ht="37.5" hidden="1">
      <c r="A100" s="36" t="s">
        <v>175</v>
      </c>
      <c r="B100" s="36" t="s">
        <v>176</v>
      </c>
      <c r="C100" s="37" t="s">
        <v>173</v>
      </c>
      <c r="D100" s="38" t="s">
        <v>177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340762.28</v>
      </c>
      <c r="P100" s="41">
        <f t="shared" si="17"/>
        <v>170381.14</v>
      </c>
      <c r="Q100" s="40">
        <f>550000-379618.86</f>
        <v>170381.14</v>
      </c>
      <c r="R100" s="130"/>
      <c r="S100" s="91"/>
      <c r="T100" s="131">
        <v>170381.14</v>
      </c>
      <c r="U100" s="131"/>
      <c r="V100" s="40">
        <v>0</v>
      </c>
      <c r="W100" s="40"/>
      <c r="X100" s="131">
        <v>170381.14</v>
      </c>
      <c r="Y100" s="125">
        <f>X100/P100*100</f>
        <v>100</v>
      </c>
      <c r="Z100" s="41">
        <f>Z101+Z102+Z103</f>
        <v>0</v>
      </c>
      <c r="AA100" s="40">
        <f t="shared" si="15"/>
        <v>0</v>
      </c>
      <c r="AB100" s="42">
        <f t="shared" si="14"/>
        <v>-170381.14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32.25" customHeight="1" hidden="1">
      <c r="A101" s="36" t="s">
        <v>178</v>
      </c>
      <c r="B101" s="36" t="s">
        <v>179</v>
      </c>
      <c r="C101" s="37" t="s">
        <v>173</v>
      </c>
      <c r="D101" s="38" t="s">
        <v>180</v>
      </c>
      <c r="E101" s="39"/>
      <c r="F101" s="39"/>
      <c r="G101" s="39"/>
      <c r="H101" s="39"/>
      <c r="I101" s="39"/>
      <c r="J101" s="39"/>
      <c r="K101" s="39"/>
      <c r="L101" s="39"/>
      <c r="M101" s="41">
        <v>0</v>
      </c>
      <c r="N101" s="39"/>
      <c r="O101" s="78">
        <f t="shared" si="16"/>
        <v>610364</v>
      </c>
      <c r="P101" s="41">
        <f t="shared" si="17"/>
        <v>305182</v>
      </c>
      <c r="Q101" s="40">
        <v>305182</v>
      </c>
      <c r="R101" s="130"/>
      <c r="S101" s="91"/>
      <c r="T101" s="131"/>
      <c r="U101" s="131"/>
      <c r="V101" s="40">
        <v>0</v>
      </c>
      <c r="W101" s="40"/>
      <c r="X101" s="131"/>
      <c r="Y101" s="125"/>
      <c r="Z101" s="41">
        <f>Z102+Z103+Z104</f>
        <v>0</v>
      </c>
      <c r="AA101" s="40">
        <f t="shared" si="15"/>
        <v>0</v>
      </c>
      <c r="AB101" s="42">
        <f t="shared" si="14"/>
        <v>-305182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51.75" customHeight="1" hidden="1">
      <c r="A102" s="36" t="s">
        <v>181</v>
      </c>
      <c r="B102" s="36" t="s">
        <v>182</v>
      </c>
      <c r="C102" s="37" t="s">
        <v>183</v>
      </c>
      <c r="D102" s="38" t="s">
        <v>184</v>
      </c>
      <c r="E102" s="39"/>
      <c r="F102" s="39"/>
      <c r="G102" s="39"/>
      <c r="H102" s="39"/>
      <c r="I102" s="39"/>
      <c r="J102" s="39"/>
      <c r="K102" s="39"/>
      <c r="L102" s="39"/>
      <c r="M102" s="41">
        <f>M103+M104+M105</f>
        <v>0</v>
      </c>
      <c r="N102" s="39"/>
      <c r="O102" s="78">
        <f t="shared" si="16"/>
        <v>20012024</v>
      </c>
      <c r="P102" s="41">
        <f t="shared" si="17"/>
        <v>10006012</v>
      </c>
      <c r="Q102" s="40">
        <f>Q103+Q104+Q105</f>
        <v>10006012</v>
      </c>
      <c r="R102" s="132"/>
      <c r="S102" s="91"/>
      <c r="T102" s="40">
        <f>T103+T104+T105</f>
        <v>7554942</v>
      </c>
      <c r="U102" s="40"/>
      <c r="V102" s="40">
        <v>0</v>
      </c>
      <c r="W102" s="40"/>
      <c r="X102" s="40">
        <f>X103+X104+X105</f>
        <v>7554942</v>
      </c>
      <c r="Y102" s="133">
        <f aca="true" t="shared" si="18" ref="Y102:Y107">X102/P102*100</f>
        <v>75.50402697898024</v>
      </c>
      <c r="Z102" s="41">
        <f>Z103+Z104+Z105</f>
        <v>0</v>
      </c>
      <c r="AA102" s="40">
        <f t="shared" si="15"/>
        <v>0</v>
      </c>
      <c r="AB102" s="42">
        <f t="shared" si="14"/>
        <v>-10006012</v>
      </c>
      <c r="AC102" s="91"/>
      <c r="AD102" s="185">
        <f t="shared" si="5"/>
        <v>0</v>
      </c>
      <c r="AE102" s="41">
        <f>AE103+AE104+AE105</f>
        <v>0</v>
      </c>
      <c r="AF102" s="22"/>
      <c r="AG102" s="22"/>
      <c r="AH102" s="246"/>
      <c r="AI102" s="252" t="e">
        <f t="shared" si="7"/>
        <v>#DIV/0!</v>
      </c>
    </row>
    <row r="103" spans="1:35" ht="24" customHeight="1" hidden="1">
      <c r="A103" s="36"/>
      <c r="B103" s="36"/>
      <c r="C103" s="44"/>
      <c r="D103" s="60" t="s">
        <v>185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4000000</v>
      </c>
      <c r="P103" s="63">
        <f t="shared" si="17"/>
        <v>2000000</v>
      </c>
      <c r="Q103" s="72">
        <f>1500000+500000</f>
        <v>2000000</v>
      </c>
      <c r="R103" s="134"/>
      <c r="S103" s="68"/>
      <c r="T103" s="128">
        <f>185695.2+283914.6+257099.4+99340.8+62907.6+129854.4+71424+72591.6+236332.8+190290+101258.4+5511.6+10389.6</f>
        <v>1706610.0000000002</v>
      </c>
      <c r="U103" s="128"/>
      <c r="V103" s="80">
        <v>0</v>
      </c>
      <c r="W103" s="80"/>
      <c r="X103" s="128">
        <f>185695.2+283914.6+257099.4+99340.8+62907.6+129854.4+71424+72591.6+236332.8+190290+101258.4+5511.6+10389.6</f>
        <v>1706610.0000000002</v>
      </c>
      <c r="Y103" s="74">
        <f t="shared" si="18"/>
        <v>85.33050000000001</v>
      </c>
      <c r="Z103" s="64">
        <v>0</v>
      </c>
      <c r="AA103" s="80">
        <f t="shared" si="15"/>
        <v>0</v>
      </c>
      <c r="AB103" s="82">
        <f t="shared" si="14"/>
        <v>-2000000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18.75" hidden="1">
      <c r="A104" s="36"/>
      <c r="B104" s="36"/>
      <c r="C104" s="44"/>
      <c r="D104" s="60" t="s">
        <v>186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9012024</v>
      </c>
      <c r="P104" s="63">
        <f t="shared" si="17"/>
        <v>4506012</v>
      </c>
      <c r="Q104" s="72">
        <f>5000000-500000+6012</f>
        <v>4506012</v>
      </c>
      <c r="R104" s="134"/>
      <c r="S104" s="68"/>
      <c r="T104" s="128">
        <f>309091.2+295428.55+104848.25+410089.8+99821.4+824466.6+79300.2-85899.6+234306+338492.4+314325+469128-30844.2+68012.4+172592.4+166410+6012</f>
        <v>3775580.3999999994</v>
      </c>
      <c r="U104" s="128"/>
      <c r="V104" s="80">
        <v>0</v>
      </c>
      <c r="W104" s="80"/>
      <c r="X104" s="128">
        <f>309091.2+295428.55+104848.25+410089.8+99821.4+824466.6+79300.2-85899.6+234306+338492.4+314325+469128-30844.2+68012.4+172592.4+166410+6012</f>
        <v>3775580.3999999994</v>
      </c>
      <c r="Y104" s="74">
        <f t="shared" si="18"/>
        <v>83.78984343583637</v>
      </c>
      <c r="Z104" s="64">
        <v>0</v>
      </c>
      <c r="AA104" s="80">
        <f t="shared" si="15"/>
        <v>0</v>
      </c>
      <c r="AB104" s="82">
        <f t="shared" si="14"/>
        <v>-4506012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 hidden="1">
      <c r="A105" s="36"/>
      <c r="B105" s="36"/>
      <c r="C105" s="44"/>
      <c r="D105" s="60" t="s">
        <v>187</v>
      </c>
      <c r="E105" s="79"/>
      <c r="F105" s="79"/>
      <c r="G105" s="79"/>
      <c r="H105" s="79"/>
      <c r="I105" s="79"/>
      <c r="J105" s="79"/>
      <c r="K105" s="79"/>
      <c r="L105" s="79"/>
      <c r="M105" s="63">
        <v>0</v>
      </c>
      <c r="N105" s="79"/>
      <c r="O105" s="67">
        <f t="shared" si="16"/>
        <v>7000000</v>
      </c>
      <c r="P105" s="63">
        <f t="shared" si="17"/>
        <v>3500000</v>
      </c>
      <c r="Q105" s="72">
        <v>3500000</v>
      </c>
      <c r="R105" s="134"/>
      <c r="S105" s="68"/>
      <c r="T105" s="128">
        <v>2072751.6</v>
      </c>
      <c r="U105" s="128"/>
      <c r="V105" s="80">
        <v>0</v>
      </c>
      <c r="W105" s="80"/>
      <c r="X105" s="128">
        <v>2072751.6</v>
      </c>
      <c r="Y105" s="74">
        <f t="shared" si="18"/>
        <v>59.221474285714294</v>
      </c>
      <c r="Z105" s="64">
        <v>0</v>
      </c>
      <c r="AA105" s="80">
        <f t="shared" si="15"/>
        <v>0</v>
      </c>
      <c r="AB105" s="82">
        <f t="shared" si="14"/>
        <v>-3500000</v>
      </c>
      <c r="AC105" s="52"/>
      <c r="AD105" s="185">
        <f t="shared" si="5"/>
        <v>0</v>
      </c>
      <c r="AE105" s="99"/>
      <c r="AF105" s="22"/>
      <c r="AG105" s="22"/>
      <c r="AH105" s="246"/>
      <c r="AI105" s="252" t="e">
        <f t="shared" si="7"/>
        <v>#DIV/0!</v>
      </c>
    </row>
    <row r="106" spans="1:35" ht="21" customHeight="1">
      <c r="A106" s="36"/>
      <c r="B106" s="23" t="s">
        <v>33</v>
      </c>
      <c r="C106" s="24">
        <v>1</v>
      </c>
      <c r="D106" s="25" t="s">
        <v>188</v>
      </c>
      <c r="E106" s="26"/>
      <c r="F106" s="26"/>
      <c r="G106" s="27"/>
      <c r="H106" s="26"/>
      <c r="I106" s="26"/>
      <c r="J106" s="28"/>
      <c r="K106" s="28"/>
      <c r="L106" s="28"/>
      <c r="M106" s="29">
        <f>M107</f>
        <v>28400</v>
      </c>
      <c r="N106" s="135"/>
      <c r="O106" s="136">
        <f>P106+Q106</f>
        <v>56800</v>
      </c>
      <c r="P106" s="30">
        <f>Q106+R106</f>
        <v>28400</v>
      </c>
      <c r="Q106" s="31">
        <f>Q107</f>
        <v>28400</v>
      </c>
      <c r="R106" s="31">
        <f>R107</f>
        <v>0</v>
      </c>
      <c r="S106" s="31">
        <f>S107</f>
        <v>0</v>
      </c>
      <c r="T106" s="31">
        <f>T107</f>
        <v>0</v>
      </c>
      <c r="U106" s="31"/>
      <c r="V106" s="31">
        <f>P106*(0.9)</f>
        <v>25560</v>
      </c>
      <c r="W106" s="31"/>
      <c r="X106" s="31">
        <f>X107</f>
        <v>0</v>
      </c>
      <c r="Y106" s="33">
        <f t="shared" si="18"/>
        <v>0</v>
      </c>
      <c r="Z106" s="30">
        <v>50000</v>
      </c>
      <c r="AA106" s="29">
        <f>Z106/P106*100</f>
        <v>176.05633802816902</v>
      </c>
      <c r="AB106" s="287"/>
      <c r="AC106" s="22" t="s">
        <v>189</v>
      </c>
      <c r="AD106" s="191">
        <f t="shared" si="5"/>
        <v>30700</v>
      </c>
      <c r="AE106" s="137">
        <f>AE107</f>
        <v>30700</v>
      </c>
      <c r="AF106" s="35"/>
      <c r="AG106" s="35"/>
      <c r="AH106" s="248"/>
      <c r="AI106" s="33">
        <f t="shared" si="7"/>
        <v>0</v>
      </c>
    </row>
    <row r="107" spans="1:35" ht="21" customHeight="1">
      <c r="A107" s="36"/>
      <c r="B107" s="232" t="s">
        <v>111</v>
      </c>
      <c r="C107" s="138"/>
      <c r="D107" s="205" t="s">
        <v>190</v>
      </c>
      <c r="E107" s="12"/>
      <c r="F107" s="12"/>
      <c r="G107" s="13"/>
      <c r="H107" s="12"/>
      <c r="I107" s="12"/>
      <c r="J107" s="139"/>
      <c r="K107" s="139"/>
      <c r="L107" s="139"/>
      <c r="M107" s="140">
        <v>28400</v>
      </c>
      <c r="N107" s="139"/>
      <c r="O107" s="141">
        <f>P107+Q107</f>
        <v>56800</v>
      </c>
      <c r="P107" s="142">
        <f>Q107+R107</f>
        <v>28400</v>
      </c>
      <c r="Q107" s="80">
        <v>28400</v>
      </c>
      <c r="R107" s="80">
        <v>0</v>
      </c>
      <c r="S107" s="80">
        <v>0</v>
      </c>
      <c r="T107" s="80">
        <v>0</v>
      </c>
      <c r="U107" s="80"/>
      <c r="V107" s="80">
        <f>P107*(0.9)</f>
        <v>25560</v>
      </c>
      <c r="W107" s="80"/>
      <c r="X107" s="80">
        <v>0</v>
      </c>
      <c r="Y107" s="143">
        <f t="shared" si="18"/>
        <v>0</v>
      </c>
      <c r="Z107" s="144">
        <v>50000</v>
      </c>
      <c r="AA107" s="80">
        <f>Z107/P107*100</f>
        <v>176.05633802816902</v>
      </c>
      <c r="AB107" s="287"/>
      <c r="AC107" s="22"/>
      <c r="AD107" s="185">
        <f t="shared" si="5"/>
        <v>30700</v>
      </c>
      <c r="AE107" s="144">
        <v>30700</v>
      </c>
      <c r="AF107" s="22"/>
      <c r="AG107" s="22"/>
      <c r="AH107" s="246"/>
      <c r="AI107" s="252">
        <f t="shared" si="7"/>
        <v>0</v>
      </c>
    </row>
    <row r="108" spans="1:35" ht="64.5" customHeight="1">
      <c r="A108" s="36"/>
      <c r="B108" s="145" t="s">
        <v>34</v>
      </c>
      <c r="C108" s="146"/>
      <c r="D108" s="147" t="s">
        <v>152</v>
      </c>
      <c r="E108" s="148"/>
      <c r="F108" s="148"/>
      <c r="G108" s="148"/>
      <c r="H108" s="148"/>
      <c r="I108" s="148"/>
      <c r="J108" s="148"/>
      <c r="K108" s="148"/>
      <c r="L108" s="148"/>
      <c r="M108" s="149"/>
      <c r="N108" s="149"/>
      <c r="O108" s="149"/>
      <c r="P108" s="149"/>
      <c r="Q108" s="149"/>
      <c r="R108" s="149"/>
      <c r="S108" s="149"/>
      <c r="T108" s="149"/>
      <c r="U108" s="149"/>
      <c r="V108" s="31"/>
      <c r="W108" s="31"/>
      <c r="X108" s="149"/>
      <c r="Y108" s="149"/>
      <c r="Z108" s="137"/>
      <c r="AA108" s="31"/>
      <c r="AB108" s="34"/>
      <c r="AC108" s="174"/>
      <c r="AD108" s="191">
        <f>AE108+AF108</f>
        <v>777789.24</v>
      </c>
      <c r="AE108" s="137">
        <f>AE110</f>
        <v>777789.24</v>
      </c>
      <c r="AF108" s="35"/>
      <c r="AG108" s="35"/>
      <c r="AH108" s="243">
        <f>AH110</f>
        <v>52188.94</v>
      </c>
      <c r="AI108" s="33">
        <f>AH108/AD108*100</f>
        <v>6.709907686560437</v>
      </c>
    </row>
    <row r="109" spans="1:35" ht="20.25" customHeight="1">
      <c r="A109" s="36" t="s">
        <v>153</v>
      </c>
      <c r="B109" s="43" t="s">
        <v>138</v>
      </c>
      <c r="C109" s="37"/>
      <c r="D109" s="92" t="s">
        <v>154</v>
      </c>
      <c r="E109" s="79"/>
      <c r="F109" s="79"/>
      <c r="G109" s="79"/>
      <c r="H109" s="79"/>
      <c r="I109" s="79"/>
      <c r="J109" s="79"/>
      <c r="K109" s="79"/>
      <c r="L109" s="79"/>
      <c r="M109" s="238">
        <f>M110</f>
        <v>135989</v>
      </c>
      <c r="N109" s="238"/>
      <c r="O109" s="90">
        <f>P109+Q109</f>
        <v>271978</v>
      </c>
      <c r="P109" s="88">
        <f>Q109+R109</f>
        <v>135989</v>
      </c>
      <c r="Q109" s="80">
        <f>Q110</f>
        <v>135989</v>
      </c>
      <c r="R109" s="173"/>
      <c r="S109" s="173"/>
      <c r="T109" s="80">
        <f>T110</f>
        <v>128500.84000000001</v>
      </c>
      <c r="U109" s="80"/>
      <c r="V109" s="80">
        <f>V110</f>
        <v>1147180.09</v>
      </c>
      <c r="W109" s="80">
        <v>402800</v>
      </c>
      <c r="X109" s="80">
        <f>X110</f>
        <v>128500.84000000001</v>
      </c>
      <c r="Y109" s="81">
        <f>X109/P109*100</f>
        <v>94.4935546257418</v>
      </c>
      <c r="Z109" s="88">
        <f>Z110</f>
        <v>1147180.09</v>
      </c>
      <c r="AA109" s="80">
        <f>Z109/P109*100</f>
        <v>843.5830030370104</v>
      </c>
      <c r="AB109" s="82">
        <f>Z109-P109</f>
        <v>1011191.0900000001</v>
      </c>
      <c r="AC109" s="96"/>
      <c r="AD109" s="239">
        <f>AE109+AF109</f>
        <v>777789.24</v>
      </c>
      <c r="AE109" s="240">
        <f>AE110</f>
        <v>777789.24</v>
      </c>
      <c r="AF109" s="173"/>
      <c r="AG109" s="22"/>
      <c r="AH109" s="246">
        <f>AH110</f>
        <v>52188.94</v>
      </c>
      <c r="AI109" s="252">
        <f>AH109/AD109*100</f>
        <v>6.709907686560437</v>
      </c>
    </row>
    <row r="110" spans="1:35" ht="36.75" customHeight="1">
      <c r="A110" s="36"/>
      <c r="B110" s="36"/>
      <c r="C110" s="150"/>
      <c r="D110" s="83" t="s">
        <v>92</v>
      </c>
      <c r="E110" s="61"/>
      <c r="F110" s="61"/>
      <c r="G110" s="61"/>
      <c r="H110" s="61"/>
      <c r="I110" s="61"/>
      <c r="J110" s="61"/>
      <c r="K110" s="61"/>
      <c r="L110" s="61"/>
      <c r="M110" s="72">
        <f>135989</f>
        <v>135989</v>
      </c>
      <c r="N110" s="89"/>
      <c r="O110" s="67">
        <f>P110+Q110</f>
        <v>271978</v>
      </c>
      <c r="P110" s="63">
        <f>Q110+R110</f>
        <v>135989</v>
      </c>
      <c r="Q110" s="51">
        <f>135989</f>
        <v>135989</v>
      </c>
      <c r="R110" s="84"/>
      <c r="S110" s="84"/>
      <c r="T110" s="51">
        <f>6438.31+13187.76+54909+12393.8+41571.97</f>
        <v>128500.84000000001</v>
      </c>
      <c r="U110" s="51"/>
      <c r="V110" s="55">
        <v>1147180.09</v>
      </c>
      <c r="W110" s="55">
        <f>W109</f>
        <v>402800</v>
      </c>
      <c r="X110" s="51">
        <f>6438.31+13187.76+54909+12393.8+41571.97</f>
        <v>128500.84000000001</v>
      </c>
      <c r="Y110" s="69">
        <f>X110/P110*100</f>
        <v>94.4935546257418</v>
      </c>
      <c r="Z110" s="151">
        <v>1147180.09</v>
      </c>
      <c r="AA110" s="55">
        <f>Z110/P110*100</f>
        <v>843.5830030370104</v>
      </c>
      <c r="AB110" s="56">
        <f>Z110-P110</f>
        <v>1011191.0900000001</v>
      </c>
      <c r="AC110" s="84" t="s">
        <v>93</v>
      </c>
      <c r="AD110" s="185">
        <f>AE110+AF110</f>
        <v>777789.24</v>
      </c>
      <c r="AE110" s="64">
        <v>777789.24</v>
      </c>
      <c r="AF110" s="22"/>
      <c r="AG110" s="22"/>
      <c r="AH110" s="246">
        <f>11291.3+9563.01+9331.63+11197.95+10805.05</f>
        <v>52188.94</v>
      </c>
      <c r="AI110" s="252">
        <f>AH110/AD110*100</f>
        <v>6.709907686560437</v>
      </c>
    </row>
    <row r="111" spans="1:35" ht="18" customHeight="1">
      <c r="A111" s="152"/>
      <c r="B111" s="152"/>
      <c r="C111" s="153"/>
      <c r="D111" s="154" t="s">
        <v>114</v>
      </c>
      <c r="E111" s="152"/>
      <c r="F111" s="152"/>
      <c r="G111" s="152"/>
      <c r="H111" s="152"/>
      <c r="I111" s="155"/>
      <c r="J111" s="155"/>
      <c r="K111" s="155"/>
      <c r="L111" s="155"/>
      <c r="M111" s="90" t="e">
        <f>M106+M53</f>
        <v>#REF!</v>
      </c>
      <c r="N111" s="90" t="e">
        <f>N106+N53</f>
        <v>#VALUE!</v>
      </c>
      <c r="O111" s="90" t="e">
        <f>O106+O53</f>
        <v>#REF!</v>
      </c>
      <c r="P111" s="88" t="e">
        <f>P106+P53</f>
        <v>#REF!</v>
      </c>
      <c r="Q111" s="90"/>
      <c r="R111" s="90"/>
      <c r="S111" s="90"/>
      <c r="T111" s="90"/>
      <c r="U111" s="90"/>
      <c r="V111" s="90"/>
      <c r="W111" s="80"/>
      <c r="X111" s="90"/>
      <c r="Y111" s="90"/>
      <c r="Z111" s="88" t="e">
        <f>Z106+Z53</f>
        <v>#REF!</v>
      </c>
      <c r="AA111" s="90" t="e">
        <f>AA106+AA53</f>
        <v>#REF!</v>
      </c>
      <c r="AB111" s="90" t="e">
        <f>AB106+AB53</f>
        <v>#REF!</v>
      </c>
      <c r="AC111" s="90"/>
      <c r="AD111" s="185">
        <f>AE111+AF111</f>
        <v>78933381.962149</v>
      </c>
      <c r="AE111" s="88">
        <f>AE108+AE106+AE53+AE51+AE8</f>
        <v>59930471.962149</v>
      </c>
      <c r="AF111" s="88">
        <f>AF108+AF106+AF53+AF51+AF8</f>
        <v>19002910</v>
      </c>
      <c r="AG111" s="88">
        <f>AG108+AG106+AG53+AG51+AG8</f>
        <v>19002910</v>
      </c>
      <c r="AH111" s="185">
        <f>AH108+AH106+AH53+AH51+AH8</f>
        <v>20115103.02</v>
      </c>
      <c r="AI111" s="252">
        <f>AH111/AD111*100</f>
        <v>25.48364522078354</v>
      </c>
    </row>
    <row r="112" spans="16:23" ht="12.75">
      <c r="P112" s="123"/>
      <c r="R112" s="171"/>
      <c r="S112" s="171"/>
      <c r="V112" s="111"/>
      <c r="W112" s="111"/>
    </row>
    <row r="113" spans="1:30" ht="12.75">
      <c r="A113" s="156"/>
      <c r="B113" s="159"/>
      <c r="C113" s="157"/>
      <c r="P113" s="123"/>
      <c r="R113" s="5"/>
      <c r="S113" s="5"/>
      <c r="T113" s="5"/>
      <c r="U113" s="5"/>
      <c r="V113" s="5"/>
      <c r="W113" s="5"/>
      <c r="X113" s="5"/>
      <c r="AD113" s="231"/>
    </row>
    <row r="114" spans="4:33" s="233" customFormat="1" ht="18.75"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5"/>
      <c r="Q114" s="234"/>
      <c r="R114" s="236"/>
      <c r="S114" s="236"/>
      <c r="T114" s="236"/>
      <c r="U114" s="236"/>
      <c r="V114" s="236"/>
      <c r="W114" s="236"/>
      <c r="X114" s="236"/>
      <c r="Y114" s="234"/>
      <c r="Z114" s="234"/>
      <c r="AA114" s="234"/>
      <c r="AB114" s="234"/>
      <c r="AC114" s="234"/>
      <c r="AD114" s="234"/>
      <c r="AG114" s="237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spans="16:24" ht="12.75">
      <c r="P116" s="123"/>
      <c r="R116" s="5"/>
      <c r="S116" s="5"/>
      <c r="T116" s="5"/>
      <c r="U116" s="5"/>
      <c r="V116" s="5"/>
      <c r="W116" s="5"/>
      <c r="X116" s="5"/>
    </row>
    <row r="117" ht="12.75">
      <c r="AE117" s="123"/>
    </row>
    <row r="161" ht="12.75"/>
    <row r="162" ht="12.75"/>
    <row r="163" ht="12.75"/>
    <row r="164" ht="12.75"/>
    <row r="165" ht="12.75"/>
    <row r="166" ht="12.75"/>
  </sheetData>
  <sheetProtection/>
  <mergeCells count="35">
    <mergeCell ref="AB106:AB107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4:AC96"/>
    <mergeCell ref="X5:X6"/>
    <mergeCell ref="Y5:Y6"/>
    <mergeCell ref="Z5:Z6"/>
    <mergeCell ref="AC70:AC72"/>
    <mergeCell ref="AC73:AC77"/>
    <mergeCell ref="C89:C90"/>
    <mergeCell ref="D6:D7"/>
    <mergeCell ref="C66:C68"/>
    <mergeCell ref="AC5:AC6"/>
    <mergeCell ref="AA5:AA6"/>
    <mergeCell ref="AB5:AB6"/>
    <mergeCell ref="M5:M6"/>
    <mergeCell ref="W57:W58"/>
    <mergeCell ref="AC57:AC58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2017-03-29T06:19:43Z</cp:lastPrinted>
  <dcterms:created xsi:type="dcterms:W3CDTF">2014-01-17T10:52:16Z</dcterms:created>
  <dcterms:modified xsi:type="dcterms:W3CDTF">2017-04-24T12:10:34Z</dcterms:modified>
  <cp:category/>
  <cp:version/>
  <cp:contentType/>
  <cp:contentStatus/>
</cp:coreProperties>
</file>